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_1" sheetId="1" r:id="rId1"/>
    <sheet name="Egresos_2" sheetId="2" r:id="rId2"/>
    <sheet name="Gto_10_11" sheetId="3" r:id="rId3"/>
    <sheet name="Ing_2010_2011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'Gto_10_11'!$B$3:$X$31</definedName>
    <definedName name="_xlnm.Print_Area" localSheetId="3">'Ing_2010_2011'!$B$2:$Y$38</definedName>
    <definedName name="_xlnm.Print_Titles" localSheetId="2">'Gto_10_11'!$B:$E</definedName>
    <definedName name="_xlnm.Print_Titles" localSheetId="3">'Ing_2010_2011'!$B:$F</definedName>
  </definedNames>
  <calcPr fullCalcOnLoad="1"/>
</workbook>
</file>

<file path=xl/sharedStrings.xml><?xml version="1.0" encoding="utf-8"?>
<sst xmlns="http://schemas.openxmlformats.org/spreadsheetml/2006/main" count="238" uniqueCount="154">
  <si>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</si>
  <si>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</si>
  <si>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</si>
  <si>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</si>
  <si>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</si>
  <si>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</si>
  <si>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</si>
  <si>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</si>
  <si>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</si>
  <si>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</si>
  <si>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</si>
  <si>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</si>
  <si>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</si>
  <si>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</si>
  <si>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DIFERENCIA</t>
  </si>
  <si>
    <t>%</t>
  </si>
  <si>
    <t>GASTOS CORRIENTES</t>
  </si>
  <si>
    <t>GASTOS DE CAPITAL</t>
  </si>
  <si>
    <t>TOTAL    :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</si>
  <si>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</si>
  <si>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</si>
  <si>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</si>
  <si>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</si>
  <si>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</si>
  <si>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</si>
  <si>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</si>
  <si>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</si>
  <si>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</si>
  <si>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</si>
  <si>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</si>
  <si>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</si>
  <si>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</si>
  <si>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</si>
  <si>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</si>
  <si>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</si>
  <si>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</si>
  <si>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</si>
  <si>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</si>
  <si>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</si>
  <si>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</si>
  <si>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</si>
  <si>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</si>
  <si>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</si>
  <si>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</si>
  <si>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</si>
  <si>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</si>
  <si>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</si>
  <si>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</si>
  <si>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</si>
  <si>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</si>
  <si>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</si>
  <si>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</si>
  <si>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</si>
  <si>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</si>
  <si>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</si>
  <si>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</si>
  <si>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</si>
  <si>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</si>
  <si>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</si>
  <si>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</si>
  <si>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</si>
  <si>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</si>
  <si>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</si>
  <si>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</si>
  <si>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</si>
  <si>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</si>
  <si>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</si>
  <si>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</si>
  <si>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</si>
  <si>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</si>
  <si>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</si>
  <si>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</si>
  <si>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</si>
  <si>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</si>
  <si>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</si>
  <si>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</si>
  <si>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</si>
  <si>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</si>
  <si>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</si>
  <si>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AÑO FISCAL 2010</t>
  </si>
  <si>
    <t>2.5  Otros Gastos</t>
  </si>
  <si>
    <t>19 / 3 OPERACIONES OFICIALES CREDITO EXTERNO (*)</t>
  </si>
  <si>
    <t>DENOMINACION 
INGRESO - 2010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</si>
  <si>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</si>
  <si>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</si>
  <si>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</si>
  <si>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</si>
  <si>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</si>
  <si>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</si>
  <si>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</si>
  <si>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</si>
  <si>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</si>
  <si>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</si>
  <si>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</si>
  <si>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</si>
  <si>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</si>
  <si>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</si>
  <si>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</si>
  <si>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</si>
  <si>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</si>
  <si>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</si>
  <si>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</si>
  <si>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</si>
  <si>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</si>
  <si>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</si>
  <si>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</si>
  <si>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</si>
  <si>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</si>
  <si>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</si>
  <si>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</si>
  <si>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</si>
  <si>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</si>
  <si>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</si>
  <si>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</si>
  <si>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</si>
  <si>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</si>
  <si>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</si>
  <si>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</si>
  <si>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</si>
  <si>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</si>
  <si>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</si>
  <si>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</si>
  <si>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</si>
  <si>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</si>
  <si>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</si>
  <si>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</si>
  <si>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</si>
  <si>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</si>
  <si>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</si>
  <si>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</si>
  <si>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GRUPO GENERICO
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</si>
  <si>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</si>
  <si>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</si>
  <si>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</si>
  <si>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</si>
  <si>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</si>
  <si>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</si>
  <si>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</si>
  <si>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</si>
  <si>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</si>
  <si>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</si>
  <si>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</si>
  <si>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5 RECURSOS DETERMINADOS</t>
  </si>
  <si>
    <t>RECURSOS DETERMINADOS</t>
  </si>
  <si>
    <t>EJECUCION AL         MES DE SETIEMBRE /*</t>
  </si>
  <si>
    <t>EJECUCION AL         MES DE SETIEMBRE</t>
  </si>
  <si>
    <t>RESULTADOS OPERATIVOS COMPARATIVOS AL TERCER TRIMESTRE AÑOS FISCALES 2010 - 2011</t>
  </si>
  <si>
    <t>EJECUCION AL
III TRIMESTRE (*)</t>
  </si>
  <si>
    <t>EJECUCION
III TRIMESTRE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</si>
  <si>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Compromiso</t>
    </r>
  </si>
  <si>
    <t>EJECUCION AL III TRIMESTRE (*)</t>
  </si>
  <si>
    <t>EJECUCION AL III TRIMESTRE</t>
  </si>
  <si>
    <t>PRESUPUESTO DE EGRESOS COMPARATIVO III TRIMESTRE ( AL MES DE SETIEMBRE) AÑOS FISCALES 2010 - 2011</t>
  </si>
  <si>
    <t>Fuente : Modulo de Proceso Presupuestario MPP - SIAF, 11 de Octubre del 2011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</si>
</sst>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193" fontId="6" fillId="0" borderId="19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6" fillId="0" borderId="21" xfId="53" applyNumberFormat="1" applyFont="1" applyFill="1" applyBorder="1" applyAlignment="1">
      <alignment vertical="center" wrapText="1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30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18" xfId="53" applyNumberFormat="1" applyFont="1" applyFill="1" applyBorder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indent="2"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92" fontId="14" fillId="33" borderId="44" xfId="0" applyNumberFormat="1" applyFont="1" applyFill="1" applyBorder="1" applyAlignment="1" applyProtection="1">
      <alignment vertical="center"/>
      <protection/>
    </xf>
    <xf numFmtId="10" fontId="14" fillId="33" borderId="41" xfId="0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45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8" xfId="53" applyNumberFormat="1" applyFont="1" applyFill="1" applyBorder="1" applyAlignment="1">
      <alignment vertical="center"/>
    </xf>
    <xf numFmtId="41" fontId="6" fillId="0" borderId="21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18" xfId="53" applyNumberFormat="1" applyFont="1" applyFill="1" applyBorder="1" applyAlignment="1">
      <alignment vertical="center"/>
    </xf>
    <xf numFmtId="43" fontId="25" fillId="33" borderId="10" xfId="0" applyNumberFormat="1" applyFont="1" applyFill="1" applyBorder="1" applyAlignment="1">
      <alignment horizontal="right" vertical="center"/>
    </xf>
    <xf numFmtId="43" fontId="25" fillId="0" borderId="0" xfId="0" applyNumberFormat="1" applyFont="1" applyAlignment="1">
      <alignment horizontal="center" vertical="center"/>
    </xf>
    <xf numFmtId="43" fontId="27" fillId="0" borderId="36" xfId="0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43" fontId="27" fillId="0" borderId="37" xfId="0" applyNumberFormat="1" applyFont="1" applyBorder="1" applyAlignment="1">
      <alignment/>
    </xf>
    <xf numFmtId="43" fontId="27" fillId="0" borderId="38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39" xfId="0" applyNumberFormat="1" applyFont="1" applyBorder="1" applyAlignment="1">
      <alignment/>
    </xf>
    <xf numFmtId="43" fontId="25" fillId="33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 applyProtection="1">
      <alignment vertical="center"/>
      <protection/>
    </xf>
    <xf numFmtId="197" fontId="25" fillId="33" borderId="10" xfId="56" applyNumberFormat="1" applyFont="1" applyFill="1" applyBorder="1" applyAlignment="1">
      <alignment/>
    </xf>
    <xf numFmtId="197" fontId="27" fillId="0" borderId="36" xfId="56" applyNumberFormat="1" applyFont="1" applyBorder="1" applyAlignment="1">
      <alignment/>
    </xf>
    <xf numFmtId="197" fontId="27" fillId="0" borderId="37" xfId="56" applyNumberFormat="1" applyFont="1" applyBorder="1" applyAlignment="1">
      <alignment/>
    </xf>
    <xf numFmtId="197" fontId="27" fillId="0" borderId="38" xfId="56" applyNumberFormat="1" applyFont="1" applyBorder="1" applyAlignment="1">
      <alignment/>
    </xf>
    <xf numFmtId="197" fontId="27" fillId="0" borderId="13" xfId="56" applyNumberFormat="1" applyFont="1" applyBorder="1" applyAlignment="1">
      <alignment/>
    </xf>
    <xf numFmtId="197" fontId="27" fillId="0" borderId="39" xfId="56" applyNumberFormat="1" applyFont="1" applyBorder="1" applyAlignment="1">
      <alignment/>
    </xf>
    <xf numFmtId="197" fontId="27" fillId="0" borderId="0" xfId="56" applyNumberFormat="1" applyFont="1" applyAlignment="1">
      <alignment vertical="center"/>
    </xf>
    <xf numFmtId="197" fontId="25" fillId="33" borderId="10" xfId="56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9" fontId="6" fillId="0" borderId="18" xfId="56" applyNumberFormat="1" applyFont="1" applyFill="1" applyBorder="1" applyAlignment="1">
      <alignment vertical="center"/>
    </xf>
    <xf numFmtId="9" fontId="7" fillId="0" borderId="18" xfId="56" applyNumberFormat="1" applyFont="1" applyFill="1" applyBorder="1" applyAlignment="1">
      <alignment vertical="center"/>
    </xf>
    <xf numFmtId="9" fontId="6" fillId="0" borderId="18" xfId="53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37" fontId="4" fillId="33" borderId="46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37" xfId="0" applyFont="1" applyBorder="1" applyAlignment="1">
      <alignment horizontal="left" indent="2"/>
    </xf>
    <xf numFmtId="0" fontId="25" fillId="33" borderId="10" xfId="0" applyFont="1" applyFill="1" applyBorder="1" applyAlignment="1">
      <alignment/>
    </xf>
    <xf numFmtId="3" fontId="25" fillId="34" borderId="47" xfId="0" applyNumberFormat="1" applyFont="1" applyFill="1" applyBorder="1" applyAlignment="1">
      <alignment horizontal="center" vertical="center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3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27" fillId="0" borderId="36" xfId="0" applyFont="1" applyBorder="1" applyAlignment="1">
      <alignment horizontal="left" indent="2"/>
    </xf>
    <xf numFmtId="0" fontId="27" fillId="0" borderId="13" xfId="0" applyFont="1" applyBorder="1" applyAlignment="1">
      <alignment horizontal="left" indent="2"/>
    </xf>
    <xf numFmtId="0" fontId="27" fillId="0" borderId="39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showGridLines="0" showZeros="0" tabSelected="1" zoomScalePageLayoutView="0" workbookViewId="0" topLeftCell="A1">
      <selection activeCell="C3" sqref="C3:R3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  <col min="19" max="19" width="1.8515625" style="0" customWidth="1"/>
  </cols>
  <sheetData>
    <row r="3" spans="3:18" ht="14.25">
      <c r="C3" s="214" t="s">
        <v>152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3:18" ht="12.75">
      <c r="C4" s="215" t="s">
        <v>12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3:18" ht="12.75">
      <c r="C5" s="215" t="s">
        <v>0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</row>
    <row r="7" spans="3:18" ht="12.75">
      <c r="C7" s="1" t="s">
        <v>22</v>
      </c>
      <c r="D7" s="2"/>
      <c r="E7" s="46"/>
      <c r="F7" s="3"/>
      <c r="G7" s="2"/>
      <c r="H7" s="2"/>
      <c r="I7" s="48"/>
      <c r="J7" s="2"/>
      <c r="K7" s="2"/>
      <c r="L7" s="46"/>
      <c r="M7" s="3"/>
      <c r="N7" s="2"/>
      <c r="O7" s="2"/>
      <c r="P7" s="46"/>
      <c r="Q7" s="2"/>
      <c r="R7" s="2"/>
    </row>
    <row r="8" spans="3:18" ht="12.75" customHeight="1">
      <c r="C8" s="202" t="s">
        <v>9</v>
      </c>
      <c r="D8" s="206"/>
      <c r="E8" s="47"/>
      <c r="F8" s="204" t="s">
        <v>79</v>
      </c>
      <c r="G8" s="211"/>
      <c r="H8" s="205"/>
      <c r="I8" s="54"/>
      <c r="J8" s="202" t="s">
        <v>9</v>
      </c>
      <c r="K8" s="202"/>
      <c r="L8" s="51"/>
      <c r="M8" s="204" t="s">
        <v>129</v>
      </c>
      <c r="N8" s="211"/>
      <c r="O8" s="205"/>
      <c r="P8" s="51"/>
      <c r="Q8" s="204" t="s">
        <v>13</v>
      </c>
      <c r="R8" s="205"/>
    </row>
    <row r="9" spans="3:18" ht="12.75" customHeight="1">
      <c r="C9" s="206"/>
      <c r="D9" s="206"/>
      <c r="E9" s="47"/>
      <c r="F9" s="202" t="s">
        <v>11</v>
      </c>
      <c r="G9" s="202" t="s">
        <v>144</v>
      </c>
      <c r="H9" s="202" t="s">
        <v>1</v>
      </c>
      <c r="I9" s="55"/>
      <c r="J9" s="206"/>
      <c r="K9" s="206"/>
      <c r="L9" s="46"/>
      <c r="M9" s="202" t="s">
        <v>11</v>
      </c>
      <c r="N9" s="202" t="s">
        <v>144</v>
      </c>
      <c r="O9" s="202" t="s">
        <v>1</v>
      </c>
      <c r="P9" s="46"/>
      <c r="Q9" s="202" t="s">
        <v>11</v>
      </c>
      <c r="R9" s="202" t="s">
        <v>145</v>
      </c>
    </row>
    <row r="10" spans="3:18" ht="12.75">
      <c r="C10" s="206"/>
      <c r="D10" s="206"/>
      <c r="E10" s="47"/>
      <c r="F10" s="203"/>
      <c r="G10" s="203"/>
      <c r="H10" s="203"/>
      <c r="I10" s="56"/>
      <c r="J10" s="206"/>
      <c r="K10" s="206"/>
      <c r="L10" s="46"/>
      <c r="M10" s="203"/>
      <c r="N10" s="203"/>
      <c r="O10" s="203"/>
      <c r="P10" s="46"/>
      <c r="Q10" s="203"/>
      <c r="R10" s="203"/>
    </row>
    <row r="11" spans="3:18" ht="12.75">
      <c r="C11" s="206"/>
      <c r="D11" s="206"/>
      <c r="E11" s="47"/>
      <c r="F11" s="203"/>
      <c r="G11" s="203"/>
      <c r="H11" s="203"/>
      <c r="I11" s="56"/>
      <c r="J11" s="206"/>
      <c r="K11" s="206"/>
      <c r="L11" s="46"/>
      <c r="M11" s="203"/>
      <c r="N11" s="203"/>
      <c r="O11" s="203"/>
      <c r="P11" s="46"/>
      <c r="Q11" s="203"/>
      <c r="R11" s="203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212" t="s">
        <v>10</v>
      </c>
      <c r="D13" s="213"/>
      <c r="E13" s="49"/>
      <c r="F13" s="44">
        <f>SUM(F14:F18)</f>
        <v>3057015424</v>
      </c>
      <c r="G13" s="44">
        <f>SUM(G14:G18)</f>
        <v>1938195650</v>
      </c>
      <c r="H13" s="45">
        <f aca="true" t="shared" si="0" ref="H13:H18">IF(F13=0," ",G13/F13)</f>
        <v>0.6340156594512492</v>
      </c>
      <c r="I13" s="57"/>
      <c r="J13" s="212" t="s">
        <v>10</v>
      </c>
      <c r="K13" s="213"/>
      <c r="L13" s="46"/>
      <c r="M13" s="44">
        <f>SUM(M14:M18)</f>
        <v>3671090554</v>
      </c>
      <c r="N13" s="44">
        <f>SUM(N14:N18)</f>
        <v>2078732553</v>
      </c>
      <c r="O13" s="45">
        <f aca="true" t="shared" si="1" ref="O13:O18">IF(M13=0," ",N13/M13)</f>
        <v>0.5662438783306569</v>
      </c>
      <c r="P13" s="46"/>
      <c r="Q13" s="44">
        <f aca="true" t="shared" si="2" ref="Q13:R20">+M13-F13</f>
        <v>614075130</v>
      </c>
      <c r="R13" s="44">
        <f t="shared" si="2"/>
        <v>140536903</v>
      </c>
    </row>
    <row r="14" spans="3:18" ht="12.75">
      <c r="C14" s="8" t="s">
        <v>37</v>
      </c>
      <c r="D14" s="6" t="s">
        <v>2</v>
      </c>
      <c r="E14" s="48"/>
      <c r="F14" s="9">
        <v>2545066855</v>
      </c>
      <c r="G14" s="9">
        <v>1653955372</v>
      </c>
      <c r="H14" s="10">
        <f t="shared" si="0"/>
        <v>0.6498671611516469</v>
      </c>
      <c r="I14" s="52"/>
      <c r="J14" s="8" t="s">
        <v>37</v>
      </c>
      <c r="K14" s="6" t="s">
        <v>2</v>
      </c>
      <c r="L14" s="46"/>
      <c r="M14" s="9">
        <v>3101241577</v>
      </c>
      <c r="N14" s="9">
        <v>1807107359</v>
      </c>
      <c r="O14" s="10">
        <f t="shared" si="1"/>
        <v>0.5827044795227185</v>
      </c>
      <c r="P14" s="46"/>
      <c r="Q14" s="9">
        <f t="shared" si="2"/>
        <v>556174722</v>
      </c>
      <c r="R14" s="9">
        <f t="shared" si="2"/>
        <v>153151987</v>
      </c>
    </row>
    <row r="15" spans="3:18" ht="12.75">
      <c r="C15" s="8" t="s">
        <v>38</v>
      </c>
      <c r="D15" s="6" t="s">
        <v>3</v>
      </c>
      <c r="E15" s="48"/>
      <c r="F15" s="9">
        <v>315242769</v>
      </c>
      <c r="G15" s="9">
        <v>192363280</v>
      </c>
      <c r="H15" s="10">
        <f t="shared" si="0"/>
        <v>0.6102067958932311</v>
      </c>
      <c r="I15" s="52"/>
      <c r="J15" s="8" t="s">
        <v>38</v>
      </c>
      <c r="K15" s="6" t="s">
        <v>3</v>
      </c>
      <c r="L15" s="46"/>
      <c r="M15" s="9">
        <v>407640904</v>
      </c>
      <c r="N15" s="9">
        <v>201900099</v>
      </c>
      <c r="O15" s="10">
        <f t="shared" si="1"/>
        <v>0.4952891062178588</v>
      </c>
      <c r="P15" s="46"/>
      <c r="Q15" s="9">
        <f t="shared" si="2"/>
        <v>92398135</v>
      </c>
      <c r="R15" s="9">
        <f t="shared" si="2"/>
        <v>9536819</v>
      </c>
    </row>
    <row r="16" spans="3:18" ht="12.75">
      <c r="C16" s="8" t="s">
        <v>39</v>
      </c>
      <c r="D16" s="6" t="s">
        <v>32</v>
      </c>
      <c r="E16" s="48"/>
      <c r="F16" s="9">
        <v>21138800</v>
      </c>
      <c r="G16" s="9">
        <v>967156</v>
      </c>
      <c r="H16" s="10">
        <f t="shared" si="0"/>
        <v>0.0457526444263629</v>
      </c>
      <c r="I16" s="52"/>
      <c r="J16" s="8" t="s">
        <v>39</v>
      </c>
      <c r="K16" s="6" t="s">
        <v>32</v>
      </c>
      <c r="L16" s="46"/>
      <c r="M16" s="9">
        <v>29957287</v>
      </c>
      <c r="N16" s="9">
        <v>7418291</v>
      </c>
      <c r="O16" s="10">
        <f t="shared" si="1"/>
        <v>0.2476289324864431</v>
      </c>
      <c r="P16" s="46"/>
      <c r="Q16" s="9">
        <f t="shared" si="2"/>
        <v>8818487</v>
      </c>
      <c r="R16" s="9">
        <f t="shared" si="2"/>
        <v>6451135</v>
      </c>
    </row>
    <row r="17" spans="3:18" ht="12.75">
      <c r="C17" s="8" t="s">
        <v>40</v>
      </c>
      <c r="D17" s="6" t="s">
        <v>4</v>
      </c>
      <c r="E17" s="48"/>
      <c r="F17" s="9">
        <v>148733400</v>
      </c>
      <c r="G17" s="9">
        <v>74552144</v>
      </c>
      <c r="H17" s="10">
        <f t="shared" si="0"/>
        <v>0.5012468214940289</v>
      </c>
      <c r="I17" s="52"/>
      <c r="J17" s="8" t="s">
        <v>40</v>
      </c>
      <c r="K17" s="6" t="s">
        <v>4</v>
      </c>
      <c r="L17" s="46"/>
      <c r="M17" s="9">
        <v>121774884</v>
      </c>
      <c r="N17" s="9">
        <v>59072326</v>
      </c>
      <c r="O17" s="10">
        <f t="shared" si="1"/>
        <v>0.48509449616884875</v>
      </c>
      <c r="P17" s="46"/>
      <c r="Q17" s="9">
        <f>+M17-F17</f>
        <v>-26958516</v>
      </c>
      <c r="R17" s="9">
        <f>+N17-G17</f>
        <v>-15479818</v>
      </c>
    </row>
    <row r="18" spans="3:18" ht="12.75">
      <c r="C18" s="8" t="s">
        <v>132</v>
      </c>
      <c r="D18" s="6" t="s">
        <v>133</v>
      </c>
      <c r="E18" s="48"/>
      <c r="F18" s="9">
        <v>26833600</v>
      </c>
      <c r="G18" s="9">
        <v>16357698</v>
      </c>
      <c r="H18" s="10">
        <f t="shared" si="0"/>
        <v>0.6095975940611771</v>
      </c>
      <c r="I18" s="52"/>
      <c r="J18" s="8" t="s">
        <v>132</v>
      </c>
      <c r="K18" s="6" t="s">
        <v>133</v>
      </c>
      <c r="L18" s="46"/>
      <c r="M18" s="9">
        <v>10475902</v>
      </c>
      <c r="N18" s="9">
        <v>3234478</v>
      </c>
      <c r="O18" s="10">
        <f t="shared" si="1"/>
        <v>0.3087541292387042</v>
      </c>
      <c r="P18" s="46"/>
      <c r="Q18" s="9">
        <f t="shared" si="2"/>
        <v>-16357698</v>
      </c>
      <c r="R18" s="9">
        <f t="shared" si="2"/>
        <v>-13123220</v>
      </c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78"/>
      <c r="L19" s="46"/>
      <c r="M19" s="9"/>
      <c r="N19" s="9"/>
      <c r="O19" s="7"/>
      <c r="P19" s="46"/>
      <c r="Q19" s="9"/>
      <c r="R19" s="9"/>
    </row>
    <row r="20" spans="3:18" ht="12.75">
      <c r="C20" s="212" t="s">
        <v>8</v>
      </c>
      <c r="D20" s="213"/>
      <c r="E20" s="49"/>
      <c r="F20" s="44">
        <f>+F21+F22+F23+F24+F25+F26+F27</f>
        <v>3057473386</v>
      </c>
      <c r="G20" s="44">
        <f>+G21+G22+G23+G24+G25+G26+G27</f>
        <v>1938195648</v>
      </c>
      <c r="H20" s="45">
        <f>IF(F20=0," ",G20/F20)</f>
        <v>0.6339206931039497</v>
      </c>
      <c r="I20" s="57"/>
      <c r="J20" s="212" t="s">
        <v>8</v>
      </c>
      <c r="K20" s="213"/>
      <c r="L20" s="46"/>
      <c r="M20" s="44">
        <f>+M21+M22+M23+M24+M27</f>
        <v>3671090554</v>
      </c>
      <c r="N20" s="44">
        <f>+N21+N22+N23+N24+N27</f>
        <v>2078732555</v>
      </c>
      <c r="O20" s="45">
        <f aca="true" t="shared" si="3" ref="O20:O29">IF(M20=0," ",N20/M20)</f>
        <v>0.5662438788754541</v>
      </c>
      <c r="P20" s="46"/>
      <c r="Q20" s="44">
        <f t="shared" si="2"/>
        <v>613617168</v>
      </c>
      <c r="R20" s="44">
        <f t="shared" si="2"/>
        <v>140536907</v>
      </c>
    </row>
    <row r="21" spans="3:18" ht="12.75">
      <c r="C21" s="8" t="s">
        <v>84</v>
      </c>
      <c r="D21" s="6" t="s">
        <v>5</v>
      </c>
      <c r="E21" s="48"/>
      <c r="F21" s="9">
        <v>997890254</v>
      </c>
      <c r="G21" s="9">
        <v>717277288</v>
      </c>
      <c r="H21" s="10">
        <f aca="true" t="shared" si="4" ref="H21:H29">IF(F21=0," ",G21/F21)</f>
        <v>0.7187937602605347</v>
      </c>
      <c r="I21" s="52"/>
      <c r="J21" s="8" t="s">
        <v>33</v>
      </c>
      <c r="K21" s="6" t="s">
        <v>5</v>
      </c>
      <c r="L21" s="46"/>
      <c r="M21" s="9">
        <v>1098893666</v>
      </c>
      <c r="N21" s="9">
        <v>781871641</v>
      </c>
      <c r="O21" s="10">
        <f t="shared" si="3"/>
        <v>0.7115080059074614</v>
      </c>
      <c r="P21" s="46"/>
      <c r="Q21" s="79">
        <f aca="true" t="shared" si="5" ref="Q21:R29">+M21-F21</f>
        <v>101003412</v>
      </c>
      <c r="R21" s="79">
        <f t="shared" si="5"/>
        <v>64594353</v>
      </c>
    </row>
    <row r="22" spans="3:18" ht="12.75">
      <c r="C22" s="8" t="s">
        <v>85</v>
      </c>
      <c r="D22" s="6" t="s">
        <v>41</v>
      </c>
      <c r="E22" s="48"/>
      <c r="F22" s="9">
        <v>185605303</v>
      </c>
      <c r="G22" s="9">
        <v>145407561</v>
      </c>
      <c r="H22" s="10">
        <f t="shared" si="4"/>
        <v>0.7834235264280137</v>
      </c>
      <c r="I22" s="52"/>
      <c r="J22" s="8" t="s">
        <v>34</v>
      </c>
      <c r="K22" s="6" t="s">
        <v>41</v>
      </c>
      <c r="L22" s="46"/>
      <c r="M22" s="9">
        <v>173809533</v>
      </c>
      <c r="N22" s="9">
        <v>126306196</v>
      </c>
      <c r="O22" s="10">
        <f t="shared" si="3"/>
        <v>0.7266931440406091</v>
      </c>
      <c r="P22" s="46"/>
      <c r="Q22" s="9">
        <f t="shared" si="5"/>
        <v>-11795770</v>
      </c>
      <c r="R22" s="9">
        <f t="shared" si="5"/>
        <v>-19101365</v>
      </c>
    </row>
    <row r="23" spans="3:18" ht="12.75">
      <c r="C23" s="8" t="s">
        <v>86</v>
      </c>
      <c r="D23" s="6" t="s">
        <v>6</v>
      </c>
      <c r="E23" s="48"/>
      <c r="F23" s="9">
        <v>1179134268</v>
      </c>
      <c r="G23" s="9">
        <v>762533376</v>
      </c>
      <c r="H23" s="10">
        <f t="shared" si="4"/>
        <v>0.6466891826436173</v>
      </c>
      <c r="I23" s="52"/>
      <c r="J23" s="8" t="s">
        <v>35</v>
      </c>
      <c r="K23" s="6" t="s">
        <v>6</v>
      </c>
      <c r="L23" s="46"/>
      <c r="M23" s="9">
        <v>1468464550</v>
      </c>
      <c r="N23" s="9">
        <v>786167794</v>
      </c>
      <c r="O23" s="10">
        <f t="shared" si="3"/>
        <v>0.5353672269446341</v>
      </c>
      <c r="P23" s="46"/>
      <c r="Q23" s="9">
        <f t="shared" si="5"/>
        <v>289330282</v>
      </c>
      <c r="R23" s="9">
        <f t="shared" si="5"/>
        <v>23634418</v>
      </c>
    </row>
    <row r="24" spans="3:18" ht="12.75">
      <c r="C24" s="8" t="s">
        <v>87</v>
      </c>
      <c r="D24" s="119" t="s">
        <v>78</v>
      </c>
      <c r="E24" s="48"/>
      <c r="F24" s="9">
        <v>83348778</v>
      </c>
      <c r="G24" s="9">
        <v>59461140</v>
      </c>
      <c r="H24" s="10">
        <f t="shared" si="4"/>
        <v>0.7134014610268191</v>
      </c>
      <c r="I24" s="52"/>
      <c r="J24" s="8" t="s">
        <v>77</v>
      </c>
      <c r="K24" s="119" t="s">
        <v>78</v>
      </c>
      <c r="L24" s="46"/>
      <c r="M24" s="9">
        <f>57910642+1926085</f>
        <v>59836727</v>
      </c>
      <c r="N24" s="9">
        <v>46255075</v>
      </c>
      <c r="O24" s="10">
        <f t="shared" si="3"/>
        <v>0.7730214755897327</v>
      </c>
      <c r="P24" s="46"/>
      <c r="Q24" s="9">
        <f t="shared" si="5"/>
        <v>-23512051</v>
      </c>
      <c r="R24" s="9">
        <f t="shared" si="5"/>
        <v>-13206065</v>
      </c>
    </row>
    <row r="25" spans="3:18" ht="12.75">
      <c r="C25" s="132" t="s">
        <v>88</v>
      </c>
      <c r="D25" s="133" t="s">
        <v>91</v>
      </c>
      <c r="E25" s="48"/>
      <c r="F25" s="9">
        <v>0</v>
      </c>
      <c r="G25" s="9">
        <v>0</v>
      </c>
      <c r="H25" s="10" t="str">
        <f t="shared" si="4"/>
        <v> </v>
      </c>
      <c r="I25" s="52"/>
      <c r="J25" s="8"/>
      <c r="K25" s="119"/>
      <c r="L25" s="46"/>
      <c r="M25" s="9"/>
      <c r="N25" s="9">
        <v>0</v>
      </c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</row>
    <row r="26" spans="3:18" ht="12.75">
      <c r="C26" s="132" t="s">
        <v>89</v>
      </c>
      <c r="D26" s="133" t="s">
        <v>90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19"/>
      <c r="L26" s="46"/>
      <c r="M26" s="9"/>
      <c r="N26" s="9">
        <v>0</v>
      </c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</row>
    <row r="27" spans="3:18" s="110" customFormat="1" ht="12.75" customHeight="1">
      <c r="C27" s="114" t="s">
        <v>36</v>
      </c>
      <c r="D27" s="115" t="s">
        <v>42</v>
      </c>
      <c r="E27" s="111"/>
      <c r="F27" s="112">
        <f>SUM(F28:F29)</f>
        <v>611494783</v>
      </c>
      <c r="G27" s="112">
        <f>SUM(G28:G29)</f>
        <v>253516283</v>
      </c>
      <c r="H27" s="45">
        <f>IF(F27=0," ",G27/F27)</f>
        <v>0.4145845394726777</v>
      </c>
      <c r="I27" s="113"/>
      <c r="J27" s="114" t="s">
        <v>36</v>
      </c>
      <c r="K27" s="115" t="s">
        <v>42</v>
      </c>
      <c r="L27" s="116"/>
      <c r="M27" s="117">
        <f>+M28+M29</f>
        <v>870086078</v>
      </c>
      <c r="N27" s="117">
        <f>+N28+N29</f>
        <v>338131849</v>
      </c>
      <c r="O27" s="118">
        <f t="shared" si="3"/>
        <v>0.38861884766302396</v>
      </c>
      <c r="P27" s="116"/>
      <c r="Q27" s="44">
        <f t="shared" si="5"/>
        <v>258591295</v>
      </c>
      <c r="R27" s="44">
        <f t="shared" si="5"/>
        <v>84615566</v>
      </c>
    </row>
    <row r="28" spans="3:18" ht="12.75" customHeight="1">
      <c r="C28" s="76"/>
      <c r="D28" s="119" t="s">
        <v>62</v>
      </c>
      <c r="E28" s="48"/>
      <c r="F28" s="9">
        <v>531979821</v>
      </c>
      <c r="G28" s="9">
        <v>205914900</v>
      </c>
      <c r="H28" s="10">
        <f>IF(F28=0," ",G28/F28)</f>
        <v>0.38707276455134565</v>
      </c>
      <c r="I28" s="52"/>
      <c r="J28" s="76"/>
      <c r="K28" s="119" t="s">
        <v>62</v>
      </c>
      <c r="L28" s="46"/>
      <c r="M28" s="75">
        <v>605472036</v>
      </c>
      <c r="N28" s="9">
        <v>301101983</v>
      </c>
      <c r="O28" s="10">
        <f t="shared" si="3"/>
        <v>0.49730122135648885</v>
      </c>
      <c r="P28" s="46"/>
      <c r="Q28" s="9">
        <f t="shared" si="5"/>
        <v>73492215</v>
      </c>
      <c r="R28" s="9">
        <f t="shared" si="5"/>
        <v>95187083</v>
      </c>
    </row>
    <row r="29" spans="2:18" ht="12.75">
      <c r="B29" s="2"/>
      <c r="C29" s="77"/>
      <c r="D29" s="120" t="s">
        <v>63</v>
      </c>
      <c r="E29" s="48"/>
      <c r="F29" s="11">
        <v>79514962</v>
      </c>
      <c r="G29" s="11">
        <v>47601383</v>
      </c>
      <c r="H29" s="12">
        <f t="shared" si="4"/>
        <v>0.5986468684975288</v>
      </c>
      <c r="I29" s="52"/>
      <c r="J29" s="77"/>
      <c r="K29" s="120" t="s">
        <v>63</v>
      </c>
      <c r="L29" s="46"/>
      <c r="M29" s="11">
        <v>264614042</v>
      </c>
      <c r="N29" s="11">
        <v>37029866</v>
      </c>
      <c r="O29" s="12">
        <f t="shared" si="3"/>
        <v>0.1399391571215257</v>
      </c>
      <c r="P29" s="46"/>
      <c r="Q29" s="11">
        <f>+M29-F29</f>
        <v>185099080</v>
      </c>
      <c r="R29" s="11">
        <f t="shared" si="5"/>
        <v>-10571517</v>
      </c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135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>
        <v>7400930</v>
      </c>
      <c r="O31" s="2">
        <v>758287</v>
      </c>
      <c r="P31" s="46"/>
      <c r="Q31" s="2"/>
      <c r="R31" s="2"/>
    </row>
    <row r="32" spans="2:18" ht="12.75">
      <c r="B32" s="2"/>
      <c r="C32" s="209" t="s">
        <v>134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</row>
    <row r="33" spans="2:18" ht="25.5" customHeight="1">
      <c r="B33" s="2"/>
      <c r="C33" s="207" t="s">
        <v>93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</row>
    <row r="34" spans="2:18" ht="26.25" customHeight="1">
      <c r="B34" s="2"/>
      <c r="C34" s="207" t="s">
        <v>92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153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</sheetData>
  <sheetProtection/>
  <mergeCells count="23">
    <mergeCell ref="H9:H11"/>
    <mergeCell ref="F9:F11"/>
    <mergeCell ref="J13:K13"/>
    <mergeCell ref="F8:H8"/>
    <mergeCell ref="J20:K20"/>
    <mergeCell ref="M8:O8"/>
    <mergeCell ref="C20:D20"/>
    <mergeCell ref="C13:D13"/>
    <mergeCell ref="C3:R3"/>
    <mergeCell ref="C4:R4"/>
    <mergeCell ref="C5:R5"/>
    <mergeCell ref="M9:M11"/>
    <mergeCell ref="N9:N11"/>
    <mergeCell ref="O9:O11"/>
    <mergeCell ref="Q8:R8"/>
    <mergeCell ref="J8:K11"/>
    <mergeCell ref="C34:R34"/>
    <mergeCell ref="C33:R33"/>
    <mergeCell ref="C32:R32"/>
    <mergeCell ref="R9:R11"/>
    <mergeCell ref="C8:D11"/>
    <mergeCell ref="Q9:Q11"/>
    <mergeCell ref="G9:G11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tabSelected="1" zoomScalePageLayoutView="0" workbookViewId="0" topLeftCell="A16">
      <selection activeCell="C3" sqref="C3:R3"/>
    </sheetView>
  </sheetViews>
  <sheetFormatPr defaultColWidth="11.421875" defaultRowHeight="12.75"/>
  <cols>
    <col min="1" max="1" width="2.8515625" style="137" customWidth="1"/>
    <col min="2" max="2" width="8.7109375" style="137" bestFit="1" customWidth="1"/>
    <col min="3" max="3" width="68.28125" style="137" bestFit="1" customWidth="1"/>
    <col min="4" max="4" width="0.85546875" style="150" customWidth="1"/>
    <col min="5" max="6" width="15.57421875" style="137" bestFit="1" customWidth="1"/>
    <col min="7" max="7" width="11.421875" style="137" customWidth="1"/>
    <col min="8" max="8" width="0.85546875" style="137" customWidth="1"/>
    <col min="9" max="10" width="15.57421875" style="137" bestFit="1" customWidth="1"/>
    <col min="11" max="11" width="11.421875" style="137" customWidth="1"/>
    <col min="12" max="12" width="0.85546875" style="137" customWidth="1"/>
    <col min="13" max="13" width="16.28125" style="137" bestFit="1" customWidth="1"/>
    <col min="14" max="14" width="15.57421875" style="137" bestFit="1" customWidth="1"/>
    <col min="15" max="15" width="4.28125" style="137" customWidth="1"/>
    <col min="16" max="16384" width="11.421875" style="137" customWidth="1"/>
  </cols>
  <sheetData>
    <row r="2" spans="2:15" ht="14.25">
      <c r="B2" s="231" t="s">
        <v>146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31"/>
    </row>
    <row r="3" spans="2:15" ht="12.75">
      <c r="B3" s="215" t="s">
        <v>128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30"/>
    </row>
    <row r="4" spans="2:15" ht="12.75">
      <c r="B4" s="215" t="s">
        <v>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30"/>
    </row>
    <row r="5" spans="2:15" ht="12.75">
      <c r="B5"/>
      <c r="C5"/>
      <c r="D5"/>
      <c r="E5" s="181"/>
      <c r="F5" s="41"/>
      <c r="G5"/>
      <c r="H5"/>
      <c r="I5" s="181"/>
      <c r="J5" s="41"/>
      <c r="K5"/>
      <c r="L5"/>
      <c r="M5" s="50"/>
      <c r="N5"/>
      <c r="O5"/>
    </row>
    <row r="6" spans="2:15" ht="12.75">
      <c r="B6" s="230" t="s">
        <v>22</v>
      </c>
      <c r="C6" s="230"/>
      <c r="D6" s="1"/>
      <c r="E6" s="182"/>
      <c r="F6" s="183"/>
      <c r="G6" s="2"/>
      <c r="H6" s="2"/>
      <c r="I6" s="184"/>
      <c r="J6" s="183"/>
      <c r="K6" s="2"/>
      <c r="L6" s="2"/>
      <c r="M6" s="46"/>
      <c r="N6" s="2"/>
      <c r="O6" s="2"/>
    </row>
    <row r="8" spans="2:14" ht="12.75">
      <c r="B8" s="218" t="s">
        <v>94</v>
      </c>
      <c r="C8" s="219"/>
      <c r="D8" s="136"/>
      <c r="E8" s="229" t="s">
        <v>79</v>
      </c>
      <c r="F8" s="229"/>
      <c r="G8" s="229"/>
      <c r="I8" s="229" t="s">
        <v>129</v>
      </c>
      <c r="J8" s="229"/>
      <c r="K8" s="229"/>
      <c r="M8" s="229" t="s">
        <v>13</v>
      </c>
      <c r="N8" s="229"/>
    </row>
    <row r="9" spans="2:14" s="140" customFormat="1" ht="38.25">
      <c r="B9" s="220"/>
      <c r="C9" s="221"/>
      <c r="D9" s="136"/>
      <c r="E9" s="138" t="s">
        <v>95</v>
      </c>
      <c r="F9" s="139" t="s">
        <v>147</v>
      </c>
      <c r="G9" s="138" t="s">
        <v>1</v>
      </c>
      <c r="I9" s="138" t="s">
        <v>95</v>
      </c>
      <c r="J9" s="139" t="s">
        <v>147</v>
      </c>
      <c r="K9" s="138" t="s">
        <v>1</v>
      </c>
      <c r="M9" s="139" t="s">
        <v>96</v>
      </c>
      <c r="N9" s="139" t="s">
        <v>148</v>
      </c>
    </row>
    <row r="10" spans="2:14" s="140" customFormat="1" ht="12.75">
      <c r="B10" s="217" t="s">
        <v>97</v>
      </c>
      <c r="C10" s="217"/>
      <c r="D10" s="141"/>
      <c r="E10" s="142">
        <f>SUM(E11:E13)</f>
        <v>997890254</v>
      </c>
      <c r="F10" s="142">
        <f>SUM(F11:F13)</f>
        <v>717277288</v>
      </c>
      <c r="G10" s="186">
        <f aca="true" t="shared" si="0" ref="G10:G39">IF(E10=0," ",F10/E10)</f>
        <v>0.7187937602605347</v>
      </c>
      <c r="H10" s="172"/>
      <c r="I10" s="142">
        <f>SUM(I11:I13)</f>
        <v>1098893666</v>
      </c>
      <c r="J10" s="142">
        <f>SUM(J11:J13)</f>
        <v>781871641</v>
      </c>
      <c r="K10" s="186">
        <f aca="true" t="shared" si="1" ref="K10:K39">IF(I10=0," ",J10/I10)</f>
        <v>0.7115080059074614</v>
      </c>
      <c r="L10" s="172"/>
      <c r="M10" s="171">
        <f aca="true" t="shared" si="2" ref="M10:M36">+E10-I10</f>
        <v>-101003412</v>
      </c>
      <c r="N10" s="171">
        <f aca="true" t="shared" si="3" ref="N10:N35">+F10-J10</f>
        <v>-64594353</v>
      </c>
    </row>
    <row r="11" spans="2:14" ht="12.75">
      <c r="B11" s="223" t="s">
        <v>98</v>
      </c>
      <c r="C11" s="223"/>
      <c r="D11" s="143"/>
      <c r="E11" s="144">
        <v>958668859</v>
      </c>
      <c r="F11" s="144">
        <f>230112864+217564223+241058237</f>
        <v>688735324</v>
      </c>
      <c r="G11" s="187">
        <f t="shared" si="0"/>
        <v>0.7184288062912869</v>
      </c>
      <c r="H11" s="174"/>
      <c r="I11" s="144">
        <v>1051403739</v>
      </c>
      <c r="J11" s="144">
        <f>256145122+229913578+262153669</f>
        <v>748212369</v>
      </c>
      <c r="K11" s="187">
        <f t="shared" si="1"/>
        <v>0.7116318320416397</v>
      </c>
      <c r="L11" s="174"/>
      <c r="M11" s="173">
        <f t="shared" si="2"/>
        <v>-92734880</v>
      </c>
      <c r="N11" s="173">
        <f t="shared" si="3"/>
        <v>-59477045</v>
      </c>
    </row>
    <row r="12" spans="2:14" ht="12.75">
      <c r="B12" s="216" t="s">
        <v>99</v>
      </c>
      <c r="C12" s="216"/>
      <c r="D12" s="143"/>
      <c r="E12" s="145"/>
      <c r="F12" s="145"/>
      <c r="G12" s="188" t="str">
        <f t="shared" si="0"/>
        <v> </v>
      </c>
      <c r="H12" s="174"/>
      <c r="I12" s="145"/>
      <c r="J12" s="145"/>
      <c r="K12" s="188" t="str">
        <f t="shared" si="1"/>
        <v> </v>
      </c>
      <c r="L12" s="174"/>
      <c r="M12" s="175">
        <f t="shared" si="2"/>
        <v>0</v>
      </c>
      <c r="N12" s="175">
        <f t="shared" si="3"/>
        <v>0</v>
      </c>
    </row>
    <row r="13" spans="2:14" ht="12.75">
      <c r="B13" s="228" t="s">
        <v>100</v>
      </c>
      <c r="C13" s="228"/>
      <c r="D13" s="143"/>
      <c r="E13" s="146">
        <v>39221395</v>
      </c>
      <c r="F13" s="146">
        <f>9611102+9259463+9671399</f>
        <v>28541964</v>
      </c>
      <c r="G13" s="189">
        <f t="shared" si="0"/>
        <v>0.7277141468323602</v>
      </c>
      <c r="H13" s="174"/>
      <c r="I13" s="146">
        <v>47489927</v>
      </c>
      <c r="J13" s="146">
        <f>11494996+10407602+11756674</f>
        <v>33659272</v>
      </c>
      <c r="K13" s="189">
        <f t="shared" si="1"/>
        <v>0.7087665559056344</v>
      </c>
      <c r="L13" s="174"/>
      <c r="M13" s="176">
        <f t="shared" si="2"/>
        <v>-8268532</v>
      </c>
      <c r="N13" s="176">
        <f t="shared" si="3"/>
        <v>-5117308</v>
      </c>
    </row>
    <row r="14" spans="2:14" ht="12.75">
      <c r="B14" s="217" t="s">
        <v>101</v>
      </c>
      <c r="C14" s="217"/>
      <c r="D14" s="141"/>
      <c r="E14" s="147">
        <f>SUM(E15:E16)</f>
        <v>185605303</v>
      </c>
      <c r="F14" s="147">
        <f>SUM(F15:F16)</f>
        <v>145407561</v>
      </c>
      <c r="G14" s="186">
        <f t="shared" si="0"/>
        <v>0.7834235264280137</v>
      </c>
      <c r="H14" s="174"/>
      <c r="I14" s="147">
        <f>SUM(I15:I16)</f>
        <v>173809533</v>
      </c>
      <c r="J14" s="147">
        <f>SUM(J15:J16)</f>
        <v>126306195</v>
      </c>
      <c r="K14" s="186">
        <f t="shared" si="1"/>
        <v>0.7266931382871847</v>
      </c>
      <c r="L14" s="174"/>
      <c r="M14" s="177">
        <f t="shared" si="2"/>
        <v>11795770</v>
      </c>
      <c r="N14" s="177">
        <f t="shared" si="3"/>
        <v>19101366</v>
      </c>
    </row>
    <row r="15" spans="2:14" ht="12.75">
      <c r="B15" s="223" t="s">
        <v>102</v>
      </c>
      <c r="C15" s="223"/>
      <c r="D15" s="143"/>
      <c r="E15" s="144">
        <v>155778015</v>
      </c>
      <c r="F15" s="144">
        <f>40244598+47444454+31565182</f>
        <v>119254234</v>
      </c>
      <c r="G15" s="187">
        <f t="shared" si="0"/>
        <v>0.7655395660292629</v>
      </c>
      <c r="H15" s="174"/>
      <c r="I15" s="144">
        <v>166948022</v>
      </c>
      <c r="J15" s="144">
        <f>52285614+32004721+37709917</f>
        <v>122000252</v>
      </c>
      <c r="K15" s="187">
        <f t="shared" si="1"/>
        <v>0.7307678793582831</v>
      </c>
      <c r="L15" s="174"/>
      <c r="M15" s="173">
        <f t="shared" si="2"/>
        <v>-11170007</v>
      </c>
      <c r="N15" s="173">
        <f t="shared" si="3"/>
        <v>-2746018</v>
      </c>
    </row>
    <row r="16" spans="2:14" ht="12.75">
      <c r="B16" s="228" t="s">
        <v>103</v>
      </c>
      <c r="C16" s="228"/>
      <c r="D16" s="143"/>
      <c r="E16" s="146">
        <v>29827288</v>
      </c>
      <c r="F16" s="146">
        <f>8868564+12559799+4724964</f>
        <v>26153327</v>
      </c>
      <c r="G16" s="189">
        <f t="shared" si="0"/>
        <v>0.8768255095803548</v>
      </c>
      <c r="H16" s="174"/>
      <c r="I16" s="146">
        <v>6861511</v>
      </c>
      <c r="J16" s="146">
        <f>727771+1259631+2318541</f>
        <v>4305943</v>
      </c>
      <c r="K16" s="189">
        <f t="shared" si="1"/>
        <v>0.6275502582448677</v>
      </c>
      <c r="L16" s="174"/>
      <c r="M16" s="176">
        <f t="shared" si="2"/>
        <v>22965777</v>
      </c>
      <c r="N16" s="176">
        <f t="shared" si="3"/>
        <v>21847384</v>
      </c>
    </row>
    <row r="17" spans="2:14" ht="12.75">
      <c r="B17" s="217" t="s">
        <v>104</v>
      </c>
      <c r="C17" s="217"/>
      <c r="D17" s="141"/>
      <c r="E17" s="147">
        <f>SUM(E18:E19)</f>
        <v>1179134268</v>
      </c>
      <c r="F17" s="147">
        <f>SUM(F18:F19)</f>
        <v>762533376</v>
      </c>
      <c r="G17" s="186">
        <f t="shared" si="0"/>
        <v>0.6466891826436173</v>
      </c>
      <c r="H17" s="174"/>
      <c r="I17" s="147">
        <f>SUM(I18:I19)</f>
        <v>1468464550</v>
      </c>
      <c r="J17" s="147">
        <f>SUM(J18:J19)</f>
        <v>786167794</v>
      </c>
      <c r="K17" s="186">
        <f t="shared" si="1"/>
        <v>0.5353672269446341</v>
      </c>
      <c r="L17" s="174"/>
      <c r="M17" s="177">
        <f t="shared" si="2"/>
        <v>-289330282</v>
      </c>
      <c r="N17" s="177">
        <f t="shared" si="3"/>
        <v>-23634418</v>
      </c>
    </row>
    <row r="18" spans="2:14" ht="12.75">
      <c r="B18" s="223" t="s">
        <v>105</v>
      </c>
      <c r="C18" s="223"/>
      <c r="D18" s="143"/>
      <c r="E18" s="144">
        <v>631125684</v>
      </c>
      <c r="F18" s="144">
        <f>186601890+141518999+67422412</f>
        <v>395543301</v>
      </c>
      <c r="G18" s="187">
        <f t="shared" si="0"/>
        <v>0.6267266743021664</v>
      </c>
      <c r="H18" s="174"/>
      <c r="I18" s="144">
        <v>819017920</v>
      </c>
      <c r="J18" s="144">
        <f>229043132+73693261+91941892</f>
        <v>394678285</v>
      </c>
      <c r="K18" s="187">
        <f t="shared" si="1"/>
        <v>0.481892123923247</v>
      </c>
      <c r="L18" s="174"/>
      <c r="M18" s="173">
        <f t="shared" si="2"/>
        <v>-187892236</v>
      </c>
      <c r="N18" s="173">
        <f t="shared" si="3"/>
        <v>865016</v>
      </c>
    </row>
    <row r="19" spans="2:14" ht="12.75">
      <c r="B19" s="228" t="s">
        <v>106</v>
      </c>
      <c r="C19" s="228"/>
      <c r="D19" s="143"/>
      <c r="E19" s="146">
        <v>548008584</v>
      </c>
      <c r="F19" s="146">
        <f>118484593+124229013+124276469</f>
        <v>366990075</v>
      </c>
      <c r="G19" s="189">
        <f t="shared" si="0"/>
        <v>0.6696794278682321</v>
      </c>
      <c r="H19" s="174"/>
      <c r="I19" s="146">
        <v>649446630</v>
      </c>
      <c r="J19" s="146">
        <f>125897339+133474570+132117600</f>
        <v>391489509</v>
      </c>
      <c r="K19" s="189">
        <f t="shared" si="1"/>
        <v>0.602804743170351</v>
      </c>
      <c r="L19" s="174"/>
      <c r="M19" s="176">
        <f t="shared" si="2"/>
        <v>-101438046</v>
      </c>
      <c r="N19" s="176">
        <f t="shared" si="3"/>
        <v>-24499434</v>
      </c>
    </row>
    <row r="20" spans="2:14" ht="12.75">
      <c r="B20" s="217" t="s">
        <v>107</v>
      </c>
      <c r="C20" s="217"/>
      <c r="D20" s="141"/>
      <c r="E20" s="147">
        <f>SUM(E21)</f>
        <v>0</v>
      </c>
      <c r="F20" s="147">
        <f>SUM(F21)</f>
        <v>0</v>
      </c>
      <c r="G20" s="186" t="str">
        <f t="shared" si="0"/>
        <v> </v>
      </c>
      <c r="H20" s="174"/>
      <c r="I20" s="147">
        <f>SUM(I21)</f>
        <v>1926085</v>
      </c>
      <c r="J20" s="147">
        <f>SUM(J21)</f>
        <v>1926085</v>
      </c>
      <c r="K20" s="186">
        <f t="shared" si="1"/>
        <v>1</v>
      </c>
      <c r="L20" s="174"/>
      <c r="M20" s="177">
        <f t="shared" si="2"/>
        <v>-1926085</v>
      </c>
      <c r="N20" s="177">
        <f t="shared" si="3"/>
        <v>-1926085</v>
      </c>
    </row>
    <row r="21" spans="2:14" ht="12.75">
      <c r="B21" s="224" t="s">
        <v>108</v>
      </c>
      <c r="C21" s="224"/>
      <c r="D21" s="143"/>
      <c r="E21" s="148">
        <v>0</v>
      </c>
      <c r="F21" s="148">
        <v>0</v>
      </c>
      <c r="G21" s="190" t="str">
        <f t="shared" si="0"/>
        <v> </v>
      </c>
      <c r="H21" s="174"/>
      <c r="I21" s="148">
        <v>1926085</v>
      </c>
      <c r="J21" s="148">
        <v>1926085</v>
      </c>
      <c r="K21" s="190">
        <f t="shared" si="1"/>
        <v>1</v>
      </c>
      <c r="L21" s="174"/>
      <c r="M21" s="178">
        <f t="shared" si="2"/>
        <v>-1926085</v>
      </c>
      <c r="N21" s="178">
        <f t="shared" si="3"/>
        <v>-1926085</v>
      </c>
    </row>
    <row r="22" spans="2:14" ht="12.75">
      <c r="B22" s="217" t="s">
        <v>109</v>
      </c>
      <c r="C22" s="217"/>
      <c r="D22" s="141"/>
      <c r="E22" s="147">
        <f>SUM(E23:E27)</f>
        <v>83348778</v>
      </c>
      <c r="F22" s="147">
        <f>SUM(F23:F27)</f>
        <v>59461141</v>
      </c>
      <c r="G22" s="186">
        <f t="shared" si="0"/>
        <v>0.7134014730245956</v>
      </c>
      <c r="H22" s="174"/>
      <c r="I22" s="147">
        <f>SUM(I23:I27)</f>
        <v>57910642</v>
      </c>
      <c r="J22" s="147">
        <f>SUM(J23:J27)</f>
        <v>44328990</v>
      </c>
      <c r="K22" s="186">
        <f t="shared" si="1"/>
        <v>0.7654722598309306</v>
      </c>
      <c r="L22" s="174"/>
      <c r="M22" s="177">
        <f t="shared" si="2"/>
        <v>25438136</v>
      </c>
      <c r="N22" s="177">
        <f t="shared" si="3"/>
        <v>15132151</v>
      </c>
    </row>
    <row r="23" spans="2:14" ht="12.75">
      <c r="B23" s="223" t="s">
        <v>110</v>
      </c>
      <c r="C23" s="223"/>
      <c r="D23" s="143"/>
      <c r="E23" s="144">
        <v>0</v>
      </c>
      <c r="F23" s="144">
        <v>0</v>
      </c>
      <c r="G23" s="187" t="str">
        <f t="shared" si="0"/>
        <v> </v>
      </c>
      <c r="H23" s="174"/>
      <c r="I23" s="144">
        <v>0</v>
      </c>
      <c r="J23" s="144"/>
      <c r="K23" s="187" t="str">
        <f t="shared" si="1"/>
        <v> </v>
      </c>
      <c r="L23" s="174"/>
      <c r="M23" s="173">
        <f t="shared" si="2"/>
        <v>0</v>
      </c>
      <c r="N23" s="173">
        <f t="shared" si="3"/>
        <v>0</v>
      </c>
    </row>
    <row r="24" spans="2:14" ht="12.75">
      <c r="B24" s="223" t="s">
        <v>111</v>
      </c>
      <c r="C24" s="223"/>
      <c r="D24" s="143"/>
      <c r="E24" s="144">
        <v>9204444</v>
      </c>
      <c r="F24" s="144">
        <f>2986455+5636211+305113</f>
        <v>8927779</v>
      </c>
      <c r="G24" s="187">
        <f t="shared" si="0"/>
        <v>0.9699422365978868</v>
      </c>
      <c r="H24" s="174"/>
      <c r="I24" s="144">
        <v>9814408</v>
      </c>
      <c r="J24" s="144">
        <f>1970071+2471136+2464998</f>
        <v>6906205</v>
      </c>
      <c r="K24" s="187">
        <f t="shared" si="1"/>
        <v>0.7036802423538944</v>
      </c>
      <c r="L24" s="174"/>
      <c r="M24" s="173">
        <f t="shared" si="2"/>
        <v>-609964</v>
      </c>
      <c r="N24" s="173">
        <f t="shared" si="3"/>
        <v>2021574</v>
      </c>
    </row>
    <row r="25" spans="2:14" ht="12.75">
      <c r="B25" s="216" t="s">
        <v>112</v>
      </c>
      <c r="C25" s="216"/>
      <c r="D25" s="143"/>
      <c r="E25" s="145">
        <v>17414</v>
      </c>
      <c r="F25" s="145">
        <f>2013+4290</f>
        <v>6303</v>
      </c>
      <c r="G25" s="188">
        <f t="shared" si="0"/>
        <v>0.3619501550476628</v>
      </c>
      <c r="H25" s="174"/>
      <c r="I25" s="145">
        <v>3686</v>
      </c>
      <c r="J25" s="145">
        <v>0</v>
      </c>
      <c r="K25" s="188">
        <f t="shared" si="1"/>
        <v>0</v>
      </c>
      <c r="L25" s="174"/>
      <c r="M25" s="175">
        <f t="shared" si="2"/>
        <v>13728</v>
      </c>
      <c r="N25" s="175">
        <f t="shared" si="3"/>
        <v>6303</v>
      </c>
    </row>
    <row r="26" spans="2:14" ht="12.75">
      <c r="B26" s="216" t="s">
        <v>113</v>
      </c>
      <c r="C26" s="216"/>
      <c r="D26" s="143"/>
      <c r="E26" s="145">
        <v>69698985</v>
      </c>
      <c r="F26" s="145">
        <f>12635475+20145652+14421034</f>
        <v>47202161</v>
      </c>
      <c r="G26" s="188">
        <f t="shared" si="0"/>
        <v>0.6772288147381199</v>
      </c>
      <c r="H26" s="174"/>
      <c r="I26" s="145">
        <v>46009497</v>
      </c>
      <c r="J26" s="145">
        <f>13765163+13758954+8506750</f>
        <v>36030867</v>
      </c>
      <c r="K26" s="188">
        <f t="shared" si="1"/>
        <v>0.7831180375651575</v>
      </c>
      <c r="L26" s="174"/>
      <c r="M26" s="175">
        <f t="shared" si="2"/>
        <v>23689488</v>
      </c>
      <c r="N26" s="175">
        <f t="shared" si="3"/>
        <v>11171294</v>
      </c>
    </row>
    <row r="27" spans="2:14" ht="12.75">
      <c r="B27" s="228" t="s">
        <v>114</v>
      </c>
      <c r="C27" s="228"/>
      <c r="D27" s="143"/>
      <c r="E27" s="146">
        <v>4427935</v>
      </c>
      <c r="F27" s="146">
        <f>1526572+1736037+62289</f>
        <v>3324898</v>
      </c>
      <c r="G27" s="189">
        <f t="shared" si="0"/>
        <v>0.7508913297056077</v>
      </c>
      <c r="H27" s="174"/>
      <c r="I27" s="146">
        <v>2083051</v>
      </c>
      <c r="J27" s="146">
        <f>221589+138519+1031810</f>
        <v>1391918</v>
      </c>
      <c r="K27" s="189">
        <f t="shared" si="1"/>
        <v>0.6682111959812794</v>
      </c>
      <c r="L27" s="174"/>
      <c r="M27" s="176">
        <f t="shared" si="2"/>
        <v>2344884</v>
      </c>
      <c r="N27" s="176">
        <f t="shared" si="3"/>
        <v>1932980</v>
      </c>
    </row>
    <row r="28" spans="2:14" ht="12.75">
      <c r="B28" s="217" t="s">
        <v>115</v>
      </c>
      <c r="C28" s="217"/>
      <c r="D28" s="141"/>
      <c r="E28" s="147">
        <f>SUM(E29)</f>
        <v>0</v>
      </c>
      <c r="F28" s="147">
        <f>SUM(F29)</f>
        <v>0</v>
      </c>
      <c r="G28" s="186" t="str">
        <f t="shared" si="0"/>
        <v> </v>
      </c>
      <c r="H28" s="174"/>
      <c r="I28" s="147">
        <f>SUM(I29)</f>
        <v>0</v>
      </c>
      <c r="J28" s="147">
        <f>SUM(J29)</f>
        <v>0</v>
      </c>
      <c r="K28" s="186" t="str">
        <f t="shared" si="1"/>
        <v> </v>
      </c>
      <c r="L28" s="174"/>
      <c r="M28" s="177">
        <f t="shared" si="2"/>
        <v>0</v>
      </c>
      <c r="N28" s="177">
        <f t="shared" si="3"/>
        <v>0</v>
      </c>
    </row>
    <row r="29" spans="2:14" ht="12.75">
      <c r="B29" s="224" t="s">
        <v>116</v>
      </c>
      <c r="C29" s="224"/>
      <c r="D29" s="143"/>
      <c r="E29" s="148">
        <v>0</v>
      </c>
      <c r="F29" s="148">
        <v>0</v>
      </c>
      <c r="G29" s="190" t="str">
        <f t="shared" si="0"/>
        <v> </v>
      </c>
      <c r="H29" s="174"/>
      <c r="I29" s="148">
        <v>0</v>
      </c>
      <c r="J29" s="148">
        <v>0</v>
      </c>
      <c r="K29" s="190" t="str">
        <f t="shared" si="1"/>
        <v> </v>
      </c>
      <c r="L29" s="174"/>
      <c r="M29" s="178">
        <f t="shared" si="2"/>
        <v>0</v>
      </c>
      <c r="N29" s="178">
        <f t="shared" si="3"/>
        <v>0</v>
      </c>
    </row>
    <row r="30" spans="2:14" ht="12.75">
      <c r="B30" s="217" t="s">
        <v>117</v>
      </c>
      <c r="C30" s="217"/>
      <c r="D30" s="141"/>
      <c r="E30" s="147">
        <f>SUM(E31)</f>
        <v>0</v>
      </c>
      <c r="F30" s="147">
        <f>SUM(F31)</f>
        <v>0</v>
      </c>
      <c r="G30" s="186" t="str">
        <f t="shared" si="0"/>
        <v> </v>
      </c>
      <c r="H30" s="174"/>
      <c r="I30" s="147">
        <f>SUM(I31)</f>
        <v>0</v>
      </c>
      <c r="J30" s="147">
        <f>SUM(J31)</f>
        <v>0</v>
      </c>
      <c r="K30" s="186" t="str">
        <f t="shared" si="1"/>
        <v> </v>
      </c>
      <c r="L30" s="174"/>
      <c r="M30" s="177">
        <f t="shared" si="2"/>
        <v>0</v>
      </c>
      <c r="N30" s="177">
        <f t="shared" si="3"/>
        <v>0</v>
      </c>
    </row>
    <row r="31" spans="2:14" ht="12.75">
      <c r="B31" s="224" t="s">
        <v>118</v>
      </c>
      <c r="C31" s="224"/>
      <c r="D31" s="143"/>
      <c r="E31" s="148">
        <v>0</v>
      </c>
      <c r="F31" s="148">
        <v>0</v>
      </c>
      <c r="G31" s="190" t="str">
        <f t="shared" si="0"/>
        <v> </v>
      </c>
      <c r="H31" s="174"/>
      <c r="I31" s="148">
        <v>0</v>
      </c>
      <c r="J31" s="148">
        <v>0</v>
      </c>
      <c r="K31" s="190" t="str">
        <f t="shared" si="1"/>
        <v> </v>
      </c>
      <c r="L31" s="174"/>
      <c r="M31" s="178">
        <f t="shared" si="2"/>
        <v>0</v>
      </c>
      <c r="N31" s="178">
        <f t="shared" si="3"/>
        <v>0</v>
      </c>
    </row>
    <row r="32" spans="2:14" ht="12.75">
      <c r="B32" s="217" t="s">
        <v>119</v>
      </c>
      <c r="C32" s="217"/>
      <c r="D32" s="141"/>
      <c r="E32" s="147">
        <f>SUM(E33:E39)</f>
        <v>611494783</v>
      </c>
      <c r="F32" s="147">
        <f>SUM(F33:F39)</f>
        <v>253516286</v>
      </c>
      <c r="G32" s="186">
        <f t="shared" si="0"/>
        <v>0.4145845443786885</v>
      </c>
      <c r="H32" s="174"/>
      <c r="I32" s="147">
        <f>SUM(I33:I39)</f>
        <v>870086078</v>
      </c>
      <c r="J32" s="147">
        <f>SUM(J33:J39)</f>
        <v>338131850</v>
      </c>
      <c r="K32" s="186">
        <f t="shared" si="1"/>
        <v>0.38861884881233555</v>
      </c>
      <c r="L32" s="174"/>
      <c r="M32" s="177">
        <f t="shared" si="2"/>
        <v>-258591295</v>
      </c>
      <c r="N32" s="177">
        <f t="shared" si="3"/>
        <v>-84615564</v>
      </c>
    </row>
    <row r="33" spans="2:14" ht="12.75">
      <c r="B33" s="223" t="s">
        <v>120</v>
      </c>
      <c r="C33" s="223"/>
      <c r="D33" s="143"/>
      <c r="E33" s="144">
        <v>157000</v>
      </c>
      <c r="F33" s="144">
        <v>108000</v>
      </c>
      <c r="G33" s="187">
        <f t="shared" si="0"/>
        <v>0.6878980891719745</v>
      </c>
      <c r="H33" s="174"/>
      <c r="I33" s="144">
        <v>6509965</v>
      </c>
      <c r="J33" s="144">
        <v>0</v>
      </c>
      <c r="K33" s="187">
        <f t="shared" si="1"/>
        <v>0</v>
      </c>
      <c r="L33" s="174"/>
      <c r="M33" s="173">
        <f t="shared" si="2"/>
        <v>-6352965</v>
      </c>
      <c r="N33" s="173">
        <f t="shared" si="3"/>
        <v>108000</v>
      </c>
    </row>
    <row r="34" spans="2:14" ht="12.75">
      <c r="B34" s="223" t="s">
        <v>121</v>
      </c>
      <c r="C34" s="223"/>
      <c r="D34" s="143"/>
      <c r="E34" s="144">
        <v>272696604</v>
      </c>
      <c r="F34" s="144">
        <f>8242178+143134599+7854321</f>
        <v>159231098</v>
      </c>
      <c r="G34" s="187">
        <f t="shared" si="0"/>
        <v>0.5839130215204293</v>
      </c>
      <c r="H34" s="174"/>
      <c r="I34" s="144">
        <v>262319603</v>
      </c>
      <c r="J34" s="144">
        <f>31561056+102879992+16280990</f>
        <v>150722038</v>
      </c>
      <c r="K34" s="187">
        <f t="shared" si="1"/>
        <v>0.5745740549935188</v>
      </c>
      <c r="L34" s="174"/>
      <c r="M34" s="173">
        <f t="shared" si="2"/>
        <v>10377001</v>
      </c>
      <c r="N34" s="173">
        <f t="shared" si="3"/>
        <v>8509060</v>
      </c>
    </row>
    <row r="35" spans="2:14" ht="12.75">
      <c r="B35" s="226" t="s">
        <v>122</v>
      </c>
      <c r="C35" s="227"/>
      <c r="D35" s="143"/>
      <c r="E35" s="145">
        <v>278949297</v>
      </c>
      <c r="F35" s="145">
        <f>11180297+21633384+31620812</f>
        <v>64434493</v>
      </c>
      <c r="G35" s="188">
        <f t="shared" si="0"/>
        <v>0.23098998166681164</v>
      </c>
      <c r="H35" s="174"/>
      <c r="I35" s="145">
        <v>513353155</v>
      </c>
      <c r="J35" s="145">
        <f>11341423+96708532+52072772</f>
        <v>160122727</v>
      </c>
      <c r="K35" s="188">
        <f t="shared" si="1"/>
        <v>0.31191534607399074</v>
      </c>
      <c r="L35" s="174"/>
      <c r="M35" s="175">
        <f t="shared" si="2"/>
        <v>-234403858</v>
      </c>
      <c r="N35" s="175">
        <f t="shared" si="3"/>
        <v>-95688234</v>
      </c>
    </row>
    <row r="36" spans="2:14" ht="12.75">
      <c r="B36" s="134" t="s">
        <v>123</v>
      </c>
      <c r="C36" s="135"/>
      <c r="D36" s="143"/>
      <c r="E36" s="145">
        <v>0</v>
      </c>
      <c r="F36" s="145">
        <v>0</v>
      </c>
      <c r="G36" s="188" t="str">
        <f t="shared" si="0"/>
        <v> </v>
      </c>
      <c r="H36" s="174"/>
      <c r="I36" s="145"/>
      <c r="J36" s="145">
        <v>0</v>
      </c>
      <c r="K36" s="188" t="str">
        <f t="shared" si="1"/>
        <v> </v>
      </c>
      <c r="L36" s="174"/>
      <c r="M36" s="175">
        <f t="shared" si="2"/>
        <v>0</v>
      </c>
      <c r="N36" s="175">
        <f>+F36-J36</f>
        <v>0</v>
      </c>
    </row>
    <row r="37" spans="2:14" ht="12.75">
      <c r="B37" s="216" t="s">
        <v>124</v>
      </c>
      <c r="C37" s="216"/>
      <c r="D37" s="143"/>
      <c r="E37" s="145">
        <v>2997556</v>
      </c>
      <c r="F37" s="145">
        <f>1517731+176166+55405</f>
        <v>1749302</v>
      </c>
      <c r="G37" s="188">
        <f t="shared" si="0"/>
        <v>0.5835760866519257</v>
      </c>
      <c r="H37" s="174"/>
      <c r="I37" s="145">
        <v>26431670</v>
      </c>
      <c r="J37" s="145">
        <f>3384+2125918+608009</f>
        <v>2737311</v>
      </c>
      <c r="K37" s="188">
        <f t="shared" si="1"/>
        <v>0.10356178780985083</v>
      </c>
      <c r="L37" s="174"/>
      <c r="M37" s="175">
        <f>+E37-I37</f>
        <v>-23434114</v>
      </c>
      <c r="N37" s="175">
        <f>+F37-J37</f>
        <v>-988009</v>
      </c>
    </row>
    <row r="38" spans="2:14" ht="12.75">
      <c r="B38" s="216" t="s">
        <v>125</v>
      </c>
      <c r="C38" s="216"/>
      <c r="D38" s="143"/>
      <c r="E38" s="145">
        <v>17432653</v>
      </c>
      <c r="F38" s="145">
        <f>2093453+2003346+2338771</f>
        <v>6435570</v>
      </c>
      <c r="G38" s="188">
        <f t="shared" si="0"/>
        <v>0.36916756158686803</v>
      </c>
      <c r="H38" s="174"/>
      <c r="I38" s="145">
        <v>21275813</v>
      </c>
      <c r="J38" s="145">
        <f>9748475+1666622+1827891</f>
        <v>13242988</v>
      </c>
      <c r="K38" s="188">
        <f t="shared" si="1"/>
        <v>0.6224433350678538</v>
      </c>
      <c r="L38" s="174"/>
      <c r="M38" s="175">
        <f>+E38-I38</f>
        <v>-3843160</v>
      </c>
      <c r="N38" s="175">
        <f>+F38-J38</f>
        <v>-6807418</v>
      </c>
    </row>
    <row r="39" spans="2:14" ht="12.75">
      <c r="B39" s="225" t="s">
        <v>126</v>
      </c>
      <c r="C39" s="225"/>
      <c r="D39" s="143"/>
      <c r="E39" s="149">
        <v>39261673</v>
      </c>
      <c r="F39" s="149">
        <f>4068002+15948890+1540931</f>
        <v>21557823</v>
      </c>
      <c r="G39" s="191">
        <f t="shared" si="0"/>
        <v>0.5490806008190227</v>
      </c>
      <c r="H39" s="174"/>
      <c r="I39" s="149">
        <v>40195872</v>
      </c>
      <c r="J39" s="149">
        <f>3411381+6846332+1049073</f>
        <v>11306786</v>
      </c>
      <c r="K39" s="191">
        <f t="shared" si="1"/>
        <v>0.281292218265597</v>
      </c>
      <c r="L39" s="174"/>
      <c r="M39" s="179">
        <f>+E39-I39</f>
        <v>-934199</v>
      </c>
      <c r="N39" s="179">
        <f>+F39-J39</f>
        <v>10251037</v>
      </c>
    </row>
    <row r="40" spans="7:14" ht="3.75" customHeight="1">
      <c r="G40" s="192"/>
      <c r="H40" s="174"/>
      <c r="K40" s="192"/>
      <c r="L40" s="174"/>
      <c r="M40" s="174"/>
      <c r="N40" s="174"/>
    </row>
    <row r="41" spans="2:14" ht="21" customHeight="1">
      <c r="B41" s="222" t="s">
        <v>127</v>
      </c>
      <c r="C41" s="222"/>
      <c r="D41" s="151"/>
      <c r="E41" s="152">
        <f>+E32+E30+E28+E22+E20+E17+E14+E10</f>
        <v>3057473386</v>
      </c>
      <c r="F41" s="152">
        <f>+F32+F30+F28+F22+F20+F17+F14+F10</f>
        <v>1938195652</v>
      </c>
      <c r="G41" s="193">
        <f>IF(E41=0," ",F41/E41)</f>
        <v>0.6339206944122195</v>
      </c>
      <c r="H41" s="174"/>
      <c r="I41" s="152">
        <f>+I32+I30+I28+I22+I20+I17+I14+I10</f>
        <v>3671090554</v>
      </c>
      <c r="J41" s="152">
        <f>+J32+J30+J28+J22+J20+J17+J14+J10</f>
        <v>2078732555</v>
      </c>
      <c r="K41" s="193">
        <f>IF(I41=0," ",J41/I41)</f>
        <v>0.5662438788754541</v>
      </c>
      <c r="L41" s="174"/>
      <c r="M41" s="180">
        <f>+E41-I41</f>
        <v>-613617168</v>
      </c>
      <c r="N41" s="180">
        <f>+F41-J41</f>
        <v>-140536903</v>
      </c>
    </row>
    <row r="43" ht="12.75">
      <c r="B43" s="13" t="s">
        <v>149</v>
      </c>
    </row>
    <row r="44" ht="12.75">
      <c r="B44" s="42" t="s">
        <v>153</v>
      </c>
    </row>
  </sheetData>
  <sheetProtection/>
  <mergeCells count="38"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39:C39"/>
    <mergeCell ref="B38:C38"/>
    <mergeCell ref="B37:C37"/>
    <mergeCell ref="B35:C35"/>
    <mergeCell ref="B33:C33"/>
    <mergeCell ref="B27:C27"/>
    <mergeCell ref="B31:C31"/>
    <mergeCell ref="B34:C34"/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33"/>
  <sheetViews>
    <sheetView showGridLines="0" showZeros="0" tabSelected="1" zoomScalePageLayoutView="0" workbookViewId="0" topLeftCell="A7">
      <selection activeCell="C3" sqref="C3:R3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</row>
    <row r="4" spans="2:24" ht="2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2:24" ht="18.7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2:24" ht="1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3:24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ht="15">
      <c r="B8" s="18" t="s">
        <v>23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2:24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9"/>
      <c r="X9" s="20"/>
    </row>
    <row r="10" spans="2:24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9"/>
      <c r="X10" s="20"/>
    </row>
    <row r="11" spans="2:24" ht="15.75" thickBot="1">
      <c r="B11" s="18"/>
      <c r="C11" s="244" t="s">
        <v>26</v>
      </c>
      <c r="D11" s="245"/>
      <c r="E11" s="246"/>
      <c r="F11" s="244" t="s">
        <v>150</v>
      </c>
      <c r="G11" s="245"/>
      <c r="H11" s="245"/>
      <c r="I11" s="245"/>
      <c r="J11" s="245"/>
      <c r="K11" s="246"/>
      <c r="L11" s="244" t="s">
        <v>150</v>
      </c>
      <c r="M11" s="245"/>
      <c r="N11" s="245"/>
      <c r="O11" s="245"/>
      <c r="P11" s="245"/>
      <c r="Q11" s="246"/>
      <c r="R11" s="244" t="s">
        <v>150</v>
      </c>
      <c r="S11" s="245"/>
      <c r="T11" s="245"/>
      <c r="U11" s="245"/>
      <c r="V11" s="245"/>
      <c r="W11" s="245"/>
      <c r="X11" s="246"/>
    </row>
    <row r="12" spans="2:24" ht="22.5" customHeight="1">
      <c r="B12" s="232" t="s">
        <v>130</v>
      </c>
      <c r="C12" s="240" t="s">
        <v>24</v>
      </c>
      <c r="D12" s="241"/>
      <c r="E12" s="242"/>
      <c r="F12" s="240" t="s">
        <v>29</v>
      </c>
      <c r="G12" s="241"/>
      <c r="H12" s="242"/>
      <c r="I12" s="234" t="s">
        <v>30</v>
      </c>
      <c r="J12" s="235"/>
      <c r="K12" s="236"/>
      <c r="L12" s="234" t="s">
        <v>81</v>
      </c>
      <c r="M12" s="235"/>
      <c r="N12" s="236"/>
      <c r="O12" s="234" t="s">
        <v>31</v>
      </c>
      <c r="P12" s="235"/>
      <c r="Q12" s="236"/>
      <c r="R12" s="234" t="s">
        <v>142</v>
      </c>
      <c r="S12" s="235"/>
      <c r="T12" s="236"/>
      <c r="U12" s="237" t="s">
        <v>7</v>
      </c>
      <c r="V12" s="238"/>
      <c r="W12" s="238"/>
      <c r="X12" s="239"/>
    </row>
    <row r="13" spans="2:24" ht="15">
      <c r="B13" s="233"/>
      <c r="C13" s="22">
        <v>2010</v>
      </c>
      <c r="D13" s="4">
        <v>2011</v>
      </c>
      <c r="E13" s="23" t="s">
        <v>14</v>
      </c>
      <c r="F13" s="22">
        <v>2010</v>
      </c>
      <c r="G13" s="4">
        <v>2011</v>
      </c>
      <c r="H13" s="23" t="s">
        <v>14</v>
      </c>
      <c r="I13" s="22">
        <v>2010</v>
      </c>
      <c r="J13" s="4">
        <v>2011</v>
      </c>
      <c r="K13" s="23" t="s">
        <v>14</v>
      </c>
      <c r="L13" s="22">
        <v>2010</v>
      </c>
      <c r="M13" s="4">
        <v>2011</v>
      </c>
      <c r="N13" s="23" t="s">
        <v>14</v>
      </c>
      <c r="O13" s="22">
        <v>2010</v>
      </c>
      <c r="P13" s="4">
        <v>2011</v>
      </c>
      <c r="Q13" s="23" t="s">
        <v>14</v>
      </c>
      <c r="R13" s="22">
        <v>2010</v>
      </c>
      <c r="S13" s="4">
        <v>2011</v>
      </c>
      <c r="T13" s="23" t="s">
        <v>14</v>
      </c>
      <c r="U13" s="22">
        <v>2010</v>
      </c>
      <c r="V13" s="4">
        <v>2011</v>
      </c>
      <c r="W13" s="4" t="s">
        <v>14</v>
      </c>
      <c r="X13" s="24" t="s">
        <v>15</v>
      </c>
    </row>
    <row r="14" spans="2:24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25"/>
      <c r="V14" s="26"/>
      <c r="W14" s="26"/>
      <c r="X14" s="28"/>
    </row>
    <row r="15" spans="2:25" ht="15">
      <c r="B15" s="43" t="s">
        <v>16</v>
      </c>
      <c r="C15" s="59">
        <f>SUM(C17:C22)</f>
        <v>2445978603</v>
      </c>
      <c r="D15" s="60">
        <f>SUM(D17:D22)</f>
        <v>2801004476</v>
      </c>
      <c r="E15" s="61">
        <f>+D15-C15</f>
        <v>355025873</v>
      </c>
      <c r="F15" s="59">
        <f>SUM(F17:F22)</f>
        <v>1451064406</v>
      </c>
      <c r="G15" s="60">
        <f>SUM(G17:G22)</f>
        <v>1484879453</v>
      </c>
      <c r="H15" s="61">
        <f>+G15-F15</f>
        <v>33815047</v>
      </c>
      <c r="I15" s="59">
        <f>SUM(I17:I22)</f>
        <v>180644744</v>
      </c>
      <c r="J15" s="62">
        <f>SUM(J17:J22)</f>
        <v>197384628</v>
      </c>
      <c r="K15" s="63">
        <f>+J15-I15</f>
        <v>16739884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52417470</v>
      </c>
      <c r="P15" s="60">
        <f>SUM(P17:P22)</f>
        <v>55102144</v>
      </c>
      <c r="Q15" s="61">
        <f>+P15-O15</f>
        <v>2684674</v>
      </c>
      <c r="R15" s="59">
        <f>SUM(R17:R22)</f>
        <v>552749</v>
      </c>
      <c r="S15" s="60">
        <f>SUM(S17:S22)</f>
        <v>3234478</v>
      </c>
      <c r="T15" s="61">
        <f>+S15-R15</f>
        <v>2681729</v>
      </c>
      <c r="U15" s="59">
        <f>SUM(U17:U22)</f>
        <v>1684679369</v>
      </c>
      <c r="V15" s="60">
        <f>SUM(V17:V22)</f>
        <v>1740600703</v>
      </c>
      <c r="W15" s="60">
        <f>+V15-U15</f>
        <v>55921334</v>
      </c>
      <c r="X15" s="64">
        <f>IF(U15=0,"",W15/U15)</f>
        <v>0.03319405165695954</v>
      </c>
      <c r="Y15" s="29"/>
    </row>
    <row r="16" spans="2:24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6"/>
      <c r="X16" s="68">
        <f aca="true" t="shared" si="0" ref="X16:X28">IF(U16=0,"",W16/U16)</f>
      </c>
    </row>
    <row r="17" spans="2:26" s="121" customFormat="1" ht="15">
      <c r="B17" s="122" t="s">
        <v>43</v>
      </c>
      <c r="C17" s="65">
        <f>Egresos_1!F21</f>
        <v>997890254</v>
      </c>
      <c r="D17" s="66">
        <f>Egresos_1!M21</f>
        <v>1098893666</v>
      </c>
      <c r="E17" s="67">
        <f aca="true" t="shared" si="1" ref="E17:E22">+D17-C17</f>
        <v>101003412</v>
      </c>
      <c r="F17" s="65">
        <f>229142000+215619175+236609395</f>
        <v>681370570</v>
      </c>
      <c r="G17" s="66">
        <f>744238591-2362844</f>
        <v>741875747</v>
      </c>
      <c r="H17" s="67">
        <f aca="true" t="shared" si="2" ref="H17:H22">+G17-F17</f>
        <v>60505177</v>
      </c>
      <c r="I17" s="65">
        <f>10581967+11204511+14120241</f>
        <v>35906719</v>
      </c>
      <c r="J17" s="66">
        <v>39995893</v>
      </c>
      <c r="K17" s="67">
        <f aca="true" t="shared" si="3" ref="K17:K22">+J17-I17</f>
        <v>4089174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v>0</v>
      </c>
      <c r="S17" s="66">
        <v>0</v>
      </c>
      <c r="T17" s="67">
        <f aca="true" t="shared" si="6" ref="T17:T22">+S17-R17</f>
        <v>0</v>
      </c>
      <c r="U17" s="65">
        <f>+F17+I17+L17+O17+R17</f>
        <v>717277289</v>
      </c>
      <c r="V17" s="66">
        <f>+G17+J17+M17+P17+S17</f>
        <v>781871640</v>
      </c>
      <c r="W17" s="66">
        <f aca="true" t="shared" si="7" ref="W17:W22">+V17-U17</f>
        <v>64594351</v>
      </c>
      <c r="X17" s="68">
        <f t="shared" si="0"/>
        <v>0.0900549229574171</v>
      </c>
      <c r="Z17" s="123"/>
    </row>
    <row r="18" spans="2:26" s="121" customFormat="1" ht="15">
      <c r="B18" s="122" t="s">
        <v>44</v>
      </c>
      <c r="C18" s="65">
        <f>Egresos_1!F22</f>
        <v>185605303</v>
      </c>
      <c r="D18" s="66">
        <f>Egresos_1!M22</f>
        <v>173809533</v>
      </c>
      <c r="E18" s="67">
        <f t="shared" si="1"/>
        <v>-11795770</v>
      </c>
      <c r="F18" s="65">
        <f>49107139+59371610+36280855</f>
        <v>144759604</v>
      </c>
      <c r="G18" s="66">
        <f>125180169-112439</f>
        <v>125067730</v>
      </c>
      <c r="H18" s="67">
        <f t="shared" si="2"/>
        <v>-19691874</v>
      </c>
      <c r="I18" s="65">
        <f>6022+632644+9292</f>
        <v>647958</v>
      </c>
      <c r="J18" s="66">
        <v>1238466</v>
      </c>
      <c r="K18" s="67">
        <f t="shared" si="3"/>
        <v>590508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v>0</v>
      </c>
      <c r="S18" s="66">
        <v>0</v>
      </c>
      <c r="T18" s="67">
        <f t="shared" si="6"/>
        <v>0</v>
      </c>
      <c r="U18" s="65">
        <f aca="true" t="shared" si="8" ref="U18:V23">+F18+I18+L18+O18+R18</f>
        <v>145407562</v>
      </c>
      <c r="V18" s="66">
        <f t="shared" si="8"/>
        <v>126306196</v>
      </c>
      <c r="W18" s="66">
        <f t="shared" si="7"/>
        <v>-19101366</v>
      </c>
      <c r="X18" s="68">
        <f t="shared" si="0"/>
        <v>-0.13136432340430823</v>
      </c>
      <c r="Z18" s="123"/>
    </row>
    <row r="19" spans="2:26" s="121" customFormat="1" ht="15">
      <c r="B19" s="122" t="s">
        <v>45</v>
      </c>
      <c r="C19" s="65">
        <f>Egresos_1!F23</f>
        <v>1179134268</v>
      </c>
      <c r="D19" s="66">
        <f>Egresos_1!M23</f>
        <v>1468464550</v>
      </c>
      <c r="E19" s="67">
        <f t="shared" si="1"/>
        <v>289330282</v>
      </c>
      <c r="F19" s="65">
        <f>248881543+202949151+115029220</f>
        <v>566859914</v>
      </c>
      <c r="G19" s="66">
        <f>579142541-6127743</f>
        <v>573014798</v>
      </c>
      <c r="H19" s="67">
        <f t="shared" si="2"/>
        <v>6154884</v>
      </c>
      <c r="I19" s="65">
        <f>45076522+46932438+50890437</f>
        <v>142899397</v>
      </c>
      <c r="J19" s="66">
        <f>158489230-3604115</f>
        <v>154885115</v>
      </c>
      <c r="K19" s="67">
        <f t="shared" si="3"/>
        <v>11985718</v>
      </c>
      <c r="L19" s="65">
        <v>0</v>
      </c>
      <c r="M19" s="66">
        <v>0</v>
      </c>
      <c r="N19" s="67">
        <f t="shared" si="4"/>
        <v>0</v>
      </c>
      <c r="O19" s="65">
        <f>11128418+15866423+25226476</f>
        <v>52221317</v>
      </c>
      <c r="P19" s="66">
        <f>56787623-1754222</f>
        <v>55033401</v>
      </c>
      <c r="Q19" s="67">
        <f t="shared" si="5"/>
        <v>2812084</v>
      </c>
      <c r="R19" s="65">
        <v>552749</v>
      </c>
      <c r="S19" s="66">
        <f>5014918-1780440</f>
        <v>3234478</v>
      </c>
      <c r="T19" s="67">
        <f t="shared" si="6"/>
        <v>2681729</v>
      </c>
      <c r="U19" s="65">
        <f t="shared" si="8"/>
        <v>762533377</v>
      </c>
      <c r="V19" s="66">
        <f t="shared" si="8"/>
        <v>786167792</v>
      </c>
      <c r="W19" s="66">
        <f t="shared" si="7"/>
        <v>23634415</v>
      </c>
      <c r="X19" s="68">
        <f>IF(U19=0,"",W19/U19)</f>
        <v>0.030994597368293297</v>
      </c>
      <c r="Z19" s="123"/>
    </row>
    <row r="20" spans="2:26" s="121" customFormat="1" ht="15">
      <c r="B20" s="122" t="s">
        <v>80</v>
      </c>
      <c r="C20" s="65">
        <f>Egresos_1!F24</f>
        <v>83348778</v>
      </c>
      <c r="D20" s="66">
        <f>Egresos_1!M24</f>
        <v>59836727</v>
      </c>
      <c r="E20" s="67">
        <f t="shared" si="1"/>
        <v>-23512051</v>
      </c>
      <c r="F20" s="65">
        <f>17055169+26472133+14547016</f>
        <v>58074318</v>
      </c>
      <c r="G20" s="66">
        <f>1926085+43663178-668085</f>
        <v>44921178</v>
      </c>
      <c r="H20" s="67">
        <f t="shared" si="2"/>
        <v>-13153140</v>
      </c>
      <c r="I20" s="65">
        <f>81818+978111+130741</f>
        <v>1190670</v>
      </c>
      <c r="J20" s="66">
        <f>1272199-7045</f>
        <v>1265154</v>
      </c>
      <c r="K20" s="67">
        <f t="shared" si="3"/>
        <v>74484</v>
      </c>
      <c r="L20" s="65">
        <v>0</v>
      </c>
      <c r="M20" s="66">
        <v>0</v>
      </c>
      <c r="N20" s="67">
        <f t="shared" si="4"/>
        <v>0</v>
      </c>
      <c r="O20" s="65">
        <f>11515+69669+114969</f>
        <v>196153</v>
      </c>
      <c r="P20" s="66">
        <v>68743</v>
      </c>
      <c r="Q20" s="67">
        <f t="shared" si="5"/>
        <v>-127410</v>
      </c>
      <c r="R20" s="65">
        <v>0</v>
      </c>
      <c r="S20" s="66">
        <v>0</v>
      </c>
      <c r="T20" s="67">
        <f t="shared" si="6"/>
        <v>0</v>
      </c>
      <c r="U20" s="65">
        <f t="shared" si="8"/>
        <v>59461141</v>
      </c>
      <c r="V20" s="66">
        <f t="shared" si="8"/>
        <v>46255075</v>
      </c>
      <c r="W20" s="66">
        <f t="shared" si="7"/>
        <v>-13206066</v>
      </c>
      <c r="X20" s="68">
        <f>IF(U20=0,"",W20/U20)</f>
        <v>-0.22209573812248237</v>
      </c>
      <c r="Z20" s="123"/>
    </row>
    <row r="21" spans="2:26" s="121" customFormat="1" ht="15">
      <c r="B21" s="122"/>
      <c r="C21" s="65">
        <f>Egresos_1!F25</f>
        <v>0</v>
      </c>
      <c r="D21" s="66">
        <v>0</v>
      </c>
      <c r="E21" s="67">
        <f t="shared" si="1"/>
        <v>0</v>
      </c>
      <c r="F21" s="65">
        <v>0</v>
      </c>
      <c r="G21" s="66">
        <v>0</v>
      </c>
      <c r="H21" s="67">
        <f t="shared" si="2"/>
        <v>0</v>
      </c>
      <c r="I21" s="65">
        <v>0</v>
      </c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>
        <v>0</v>
      </c>
      <c r="P21" s="66">
        <v>0</v>
      </c>
      <c r="Q21" s="67">
        <f t="shared" si="5"/>
        <v>0</v>
      </c>
      <c r="R21" s="65">
        <v>0</v>
      </c>
      <c r="S21" s="66">
        <v>0</v>
      </c>
      <c r="T21" s="67">
        <f t="shared" si="6"/>
        <v>0</v>
      </c>
      <c r="U21" s="65">
        <f t="shared" si="8"/>
        <v>0</v>
      </c>
      <c r="V21" s="66">
        <f t="shared" si="8"/>
        <v>0</v>
      </c>
      <c r="W21" s="66">
        <f t="shared" si="7"/>
        <v>0</v>
      </c>
      <c r="X21" s="68">
        <f>IF(U21=0,"",W21/U21)</f>
      </c>
      <c r="Z21" s="123"/>
    </row>
    <row r="22" spans="2:26" s="121" customFormat="1" ht="15">
      <c r="B22" s="122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/>
      <c r="S22" s="66"/>
      <c r="T22" s="67">
        <f t="shared" si="6"/>
        <v>0</v>
      </c>
      <c r="U22" s="65">
        <f t="shared" si="8"/>
        <v>0</v>
      </c>
      <c r="V22" s="66">
        <f t="shared" si="8"/>
        <v>0</v>
      </c>
      <c r="W22" s="66">
        <f t="shared" si="7"/>
        <v>0</v>
      </c>
      <c r="X22" s="68">
        <f t="shared" si="0"/>
      </c>
      <c r="Z22" s="123"/>
    </row>
    <row r="23" spans="2:24" s="121" customFormat="1" ht="4.5" customHeight="1">
      <c r="B23" s="122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7"/>
      <c r="U23" s="65">
        <f t="shared" si="8"/>
        <v>0</v>
      </c>
      <c r="V23" s="66"/>
      <c r="W23" s="66"/>
      <c r="X23" s="68">
        <f t="shared" si="0"/>
      </c>
    </row>
    <row r="24" spans="2:25" s="121" customFormat="1" ht="15">
      <c r="B24" s="124" t="s">
        <v>17</v>
      </c>
      <c r="C24" s="59">
        <f>SUM(C27:C28)</f>
        <v>611494783</v>
      </c>
      <c r="D24" s="62">
        <f>SUM(D27:D28)</f>
        <v>870086078</v>
      </c>
      <c r="E24" s="61">
        <f>+D24-C24</f>
        <v>258591295</v>
      </c>
      <c r="F24" s="59">
        <f>SUM(F27:F28)</f>
        <v>202890967</v>
      </c>
      <c r="G24" s="62">
        <f>SUM(G27:G28)</f>
        <v>322227907</v>
      </c>
      <c r="H24" s="61">
        <f>+G24-F24</f>
        <v>119336940</v>
      </c>
      <c r="I24" s="59">
        <f>SUM(I27:I28)</f>
        <v>11718537</v>
      </c>
      <c r="J24" s="62">
        <f>SUM(J27:J28)</f>
        <v>4515470</v>
      </c>
      <c r="K24" s="63">
        <f>+J24-I24</f>
        <v>-7203067</v>
      </c>
      <c r="L24" s="59">
        <f>SUM(L27:L28)</f>
        <v>967156</v>
      </c>
      <c r="M24" s="62">
        <f>SUM(M27:M28)</f>
        <v>7418292</v>
      </c>
      <c r="N24" s="63">
        <f>+M24-L24</f>
        <v>6451136</v>
      </c>
      <c r="O24" s="59">
        <f>SUM(O27:O28)</f>
        <v>22134674</v>
      </c>
      <c r="P24" s="62">
        <f>SUM(P27:P28)</f>
        <v>3970181</v>
      </c>
      <c r="Q24" s="61">
        <f>+P24-O24</f>
        <v>-18164493</v>
      </c>
      <c r="R24" s="59">
        <f>SUM(R27:R28)</f>
        <v>15804949</v>
      </c>
      <c r="S24" s="62">
        <f>SUM(S27:S28)</f>
        <v>0</v>
      </c>
      <c r="T24" s="61">
        <f>+S24-R24</f>
        <v>-15804949</v>
      </c>
      <c r="U24" s="59">
        <f>SUM(U27:U28)</f>
        <v>253516283</v>
      </c>
      <c r="V24" s="62">
        <f>SUM(V27:V28)</f>
        <v>338131850</v>
      </c>
      <c r="W24" s="60">
        <f>+V24-U24</f>
        <v>84615567</v>
      </c>
      <c r="X24" s="64">
        <f t="shared" si="0"/>
        <v>0.33376778011533087</v>
      </c>
      <c r="Y24" s="125"/>
    </row>
    <row r="25" spans="2:25" s="121" customFormat="1" ht="4.5" customHeight="1">
      <c r="B25" s="122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5"/>
      <c r="V25" s="66"/>
      <c r="W25" s="66"/>
      <c r="X25" s="68">
        <f t="shared" si="0"/>
      </c>
      <c r="Y25" s="125"/>
    </row>
    <row r="26" spans="1:26" s="121" customFormat="1" ht="15">
      <c r="A26" s="126"/>
      <c r="B26" s="73" t="s">
        <v>46</v>
      </c>
      <c r="C26" s="65"/>
      <c r="D26" s="74"/>
      <c r="E26" s="67"/>
      <c r="F26" s="65"/>
      <c r="G26" s="74"/>
      <c r="H26" s="67"/>
      <c r="I26" s="65"/>
      <c r="J26" s="74"/>
      <c r="K26" s="67"/>
      <c r="L26" s="65">
        <v>0</v>
      </c>
      <c r="M26" s="74"/>
      <c r="N26" s="67"/>
      <c r="O26" s="65"/>
      <c r="P26" s="74"/>
      <c r="Q26" s="67"/>
      <c r="R26" s="65"/>
      <c r="S26" s="74"/>
      <c r="T26" s="67"/>
      <c r="U26" s="65">
        <f aca="true" t="shared" si="9" ref="U26:V28">+F26+I26+L26+O26+R26</f>
        <v>0</v>
      </c>
      <c r="V26" s="185">
        <f t="shared" si="9"/>
        <v>0</v>
      </c>
      <c r="W26" s="66">
        <f>+V26-U26</f>
        <v>0</v>
      </c>
      <c r="X26" s="68">
        <f t="shared" si="0"/>
      </c>
      <c r="Z26" s="123"/>
    </row>
    <row r="27" spans="2:26" s="121" customFormat="1" ht="15">
      <c r="B27" s="73" t="s">
        <v>64</v>
      </c>
      <c r="C27" s="65">
        <f>Egresos_1!F28</f>
        <v>531979821</v>
      </c>
      <c r="D27" s="74">
        <f>Egresos_1!M28</f>
        <v>605472036</v>
      </c>
      <c r="E27" s="67">
        <f>+D27-C27</f>
        <v>73492215</v>
      </c>
      <c r="F27" s="65">
        <f>16165415+142436887+25229006</f>
        <v>183831308</v>
      </c>
      <c r="G27" s="74">
        <f>298039082-4517164</f>
        <v>293521918</v>
      </c>
      <c r="H27" s="67">
        <f>+G27-F27</f>
        <v>109690610</v>
      </c>
      <c r="I27" s="65">
        <f>61428+601571</f>
        <v>662999</v>
      </c>
      <c r="J27" s="74">
        <v>0</v>
      </c>
      <c r="K27" s="67">
        <f>+J27-I27</f>
        <v>-662999</v>
      </c>
      <c r="L27" s="65">
        <f>199719+388321+379116</f>
        <v>967156</v>
      </c>
      <c r="M27" s="74">
        <f>10418900-3000608</f>
        <v>7418292</v>
      </c>
      <c r="N27" s="67"/>
      <c r="O27" s="65">
        <f>20375371+78067</f>
        <v>20453438</v>
      </c>
      <c r="P27" s="74">
        <v>161773</v>
      </c>
      <c r="Q27" s="67">
        <f>+P27-O27</f>
        <v>-20291665</v>
      </c>
      <c r="R27" s="65">
        <v>0</v>
      </c>
      <c r="S27" s="74"/>
      <c r="T27" s="67">
        <f>+S27-R27</f>
        <v>0</v>
      </c>
      <c r="U27" s="65">
        <f t="shared" si="9"/>
        <v>205914901</v>
      </c>
      <c r="V27" s="185">
        <f t="shared" si="9"/>
        <v>301101983</v>
      </c>
      <c r="W27" s="66">
        <f>+V27-U27</f>
        <v>95187082</v>
      </c>
      <c r="X27" s="68">
        <f t="shared" si="0"/>
        <v>0.46226417582086493</v>
      </c>
      <c r="Z27" s="123"/>
    </row>
    <row r="28" spans="2:26" s="121" customFormat="1" ht="15">
      <c r="B28" s="80" t="s">
        <v>65</v>
      </c>
      <c r="C28" s="65">
        <f>Egresos_1!F29</f>
        <v>79514962</v>
      </c>
      <c r="D28" s="74">
        <f>Egresos_1!M29</f>
        <v>264614042</v>
      </c>
      <c r="E28" s="67">
        <f>+D28-C28</f>
        <v>185099080</v>
      </c>
      <c r="F28" s="65">
        <f>4307656+8091178+6660825</f>
        <v>19059659</v>
      </c>
      <c r="G28" s="81">
        <f>29701572-995583</f>
        <v>28705989</v>
      </c>
      <c r="H28" s="67">
        <f>+G28-F28</f>
        <v>9646330</v>
      </c>
      <c r="I28" s="65">
        <f>6146444+4477531+431563</f>
        <v>11055538</v>
      </c>
      <c r="J28" s="81">
        <f>4535679-20209</f>
        <v>4515470</v>
      </c>
      <c r="K28" s="67">
        <f>+J28-I28</f>
        <v>-6540068</v>
      </c>
      <c r="L28" s="65">
        <v>0</v>
      </c>
      <c r="M28" s="81"/>
      <c r="N28" s="67"/>
      <c r="O28" s="65">
        <f>220999+591340+868897</f>
        <v>1681236</v>
      </c>
      <c r="P28" s="81">
        <f>3891373-82965</f>
        <v>3808408</v>
      </c>
      <c r="Q28" s="67">
        <f>+P28-O28</f>
        <v>2127172</v>
      </c>
      <c r="R28" s="65">
        <f>6535756+9269193</f>
        <v>15804949</v>
      </c>
      <c r="S28" s="81"/>
      <c r="T28" s="67">
        <f>+S28-R28</f>
        <v>-15804949</v>
      </c>
      <c r="U28" s="65">
        <f t="shared" si="9"/>
        <v>47601382</v>
      </c>
      <c r="V28" s="185">
        <f t="shared" si="9"/>
        <v>37029867</v>
      </c>
      <c r="W28" s="66">
        <f>+V28-U28</f>
        <v>-10571515</v>
      </c>
      <c r="X28" s="68">
        <f t="shared" si="0"/>
        <v>-0.22208420335359172</v>
      </c>
      <c r="Z28" s="123"/>
    </row>
    <row r="29" spans="2:26" s="121" customFormat="1" ht="15.75" thickBot="1">
      <c r="B29" s="122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5"/>
      <c r="V29" s="66"/>
      <c r="W29" s="66"/>
      <c r="X29" s="68"/>
      <c r="Z29" s="127"/>
    </row>
    <row r="30" spans="2:24" s="121" customFormat="1" ht="15.75" thickBot="1">
      <c r="B30" s="159" t="s">
        <v>18</v>
      </c>
      <c r="C30" s="153">
        <f>+C15+C24</f>
        <v>3057473386</v>
      </c>
      <c r="D30" s="153">
        <f>+D15+D24</f>
        <v>3671090554</v>
      </c>
      <c r="E30" s="154">
        <f>+D30-C30</f>
        <v>613617168</v>
      </c>
      <c r="F30" s="153">
        <f>+F15+F24</f>
        <v>1653955373</v>
      </c>
      <c r="G30" s="155">
        <f>+G15+G24</f>
        <v>1807107360</v>
      </c>
      <c r="H30" s="154">
        <f>+G30-F30</f>
        <v>153151987</v>
      </c>
      <c r="I30" s="153">
        <f>+I15+I24</f>
        <v>192363281</v>
      </c>
      <c r="J30" s="156">
        <f>+J15+J24</f>
        <v>201900098</v>
      </c>
      <c r="K30" s="154">
        <f>+J30-I30</f>
        <v>9536817</v>
      </c>
      <c r="L30" s="153">
        <f>+L15+L24</f>
        <v>967156</v>
      </c>
      <c r="M30" s="156">
        <f>+M15+M24</f>
        <v>7418292</v>
      </c>
      <c r="N30" s="157">
        <f>+M30-L30</f>
        <v>6451136</v>
      </c>
      <c r="O30" s="153">
        <f>+O15+O24</f>
        <v>74552144</v>
      </c>
      <c r="P30" s="155">
        <f>+P15+P24</f>
        <v>59072325</v>
      </c>
      <c r="Q30" s="154">
        <f>+P30-O30</f>
        <v>-15479819</v>
      </c>
      <c r="R30" s="153">
        <f>+R15+R24</f>
        <v>16357698</v>
      </c>
      <c r="S30" s="155">
        <f>+S15+S24</f>
        <v>3234478</v>
      </c>
      <c r="T30" s="154">
        <f>+S30-R30</f>
        <v>-13123220</v>
      </c>
      <c r="U30" s="153">
        <f>+U15+U24</f>
        <v>1938195652</v>
      </c>
      <c r="V30" s="155">
        <f>+V15+V24</f>
        <v>2078732553</v>
      </c>
      <c r="W30" s="155">
        <f>+V30-U30</f>
        <v>140536901</v>
      </c>
      <c r="X30" s="158">
        <f>IF(U30=0,"",W30/U30)</f>
        <v>0.07250914057875515</v>
      </c>
    </row>
    <row r="31" spans="2:24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"/>
    </row>
    <row r="32" spans="2:16" s="121" customFormat="1" ht="15">
      <c r="B32" s="13" t="s">
        <v>149</v>
      </c>
      <c r="G32" s="257"/>
      <c r="J32" s="257"/>
      <c r="M32" s="257"/>
      <c r="P32" s="257"/>
    </row>
    <row r="33" spans="2:19" s="121" customFormat="1" ht="15">
      <c r="B33" s="42" t="s">
        <v>153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0"/>
    </row>
  </sheetData>
  <sheetProtection/>
  <mergeCells count="13">
    <mergeCell ref="B3:X3"/>
    <mergeCell ref="C11:E11"/>
    <mergeCell ref="R11:X11"/>
    <mergeCell ref="L11:Q11"/>
    <mergeCell ref="F11:K11"/>
    <mergeCell ref="B12:B13"/>
    <mergeCell ref="O12:Q12"/>
    <mergeCell ref="U12:X12"/>
    <mergeCell ref="R12:T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0" r:id="rId1"/>
  <headerFooter alignWithMargins="0">
    <oddHeader>&amp;C&amp;"Arial,Negrita"&amp;14
&amp;18PRESUPUESTO MODIFICADO VS. EJECUCION REAL&amp;14
POR CATEGORIA Y GRUPO GENERICO DE GASTO
&amp;12(EN NUEVOS SOLES)</oddHeader>
    <oddFooter>&amp;CPágina &amp;P de &amp;N</oddFooter>
  </headerFooter>
  <colBreaks count="2" manualBreakCount="2">
    <brk id="11" min="2" max="30" man="1"/>
    <brk id="17" min="2" max="30" man="1"/>
  </colBreaks>
  <ignoredErrors>
    <ignoredError sqref="N24 N15 N30 T15:T16 H15:H16 H23:H25 H29:H30 T23:T24 E24 E30 E15 K24 K30 T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A45"/>
  <sheetViews>
    <sheetView showGridLines="0" showZeros="0" tabSelected="1" zoomScalePageLayoutView="0" workbookViewId="0" topLeftCell="A1">
      <selection activeCell="C3" sqref="C3:R3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3" customWidth="1"/>
    <col min="5" max="5" width="5.7109375" style="93" customWidth="1"/>
    <col min="6" max="6" width="43.57421875" style="32" customWidth="1"/>
    <col min="7" max="7" width="10.7109375" style="32" customWidth="1"/>
    <col min="8" max="8" width="11.57421875" style="32" bestFit="1" customWidth="1"/>
    <col min="9" max="9" width="12.140625" style="32" bestFit="1" customWidth="1"/>
    <col min="10" max="10" width="10.7109375" style="32" customWidth="1"/>
    <col min="11" max="11" width="11.57421875" style="32" bestFit="1" customWidth="1"/>
    <col min="12" max="12" width="12.00390625" style="32" customWidth="1"/>
    <col min="13" max="14" width="10.00390625" style="32" customWidth="1"/>
    <col min="15" max="15" width="10.421875" style="32" customWidth="1"/>
    <col min="16" max="16" width="10.140625" style="32" bestFit="1" customWidth="1"/>
    <col min="17" max="17" width="10.57421875" style="32" customWidth="1"/>
    <col min="18" max="18" width="10.7109375" style="32" bestFit="1" customWidth="1"/>
    <col min="19" max="21" width="10.7109375" style="32" customWidth="1"/>
    <col min="22" max="23" width="10.8515625" style="32" bestFit="1" customWidth="1"/>
    <col min="24" max="24" width="11.00390625" style="32" bestFit="1" customWidth="1"/>
    <col min="25" max="25" width="8.00390625" style="32" customWidth="1"/>
    <col min="26" max="16384" width="16.57421875" style="32" customWidth="1"/>
  </cols>
  <sheetData>
    <row r="2" spans="2:25" ht="14.25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26" ht="12.7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33"/>
    </row>
    <row r="4" spans="2:26" ht="15.75"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7"/>
    </row>
    <row r="5" spans="3:25" ht="12.75">
      <c r="C5" s="34" t="s">
        <v>23</v>
      </c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3:25" ht="12.75">
      <c r="C6" s="34" t="s">
        <v>25</v>
      </c>
      <c r="D6" s="34"/>
      <c r="E6" s="34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ht="13.5" thickBot="1">
      <c r="C7" s="34"/>
      <c r="D7" s="34"/>
      <c r="E7" s="34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ht="15.75" customHeight="1" thickBot="1">
      <c r="C8" s="34"/>
      <c r="D8" s="34"/>
      <c r="E8" s="34"/>
      <c r="F8" s="36"/>
      <c r="G8" s="244" t="s">
        <v>26</v>
      </c>
      <c r="H8" s="245"/>
      <c r="I8" s="246"/>
      <c r="J8" s="244" t="s">
        <v>151</v>
      </c>
      <c r="K8" s="245"/>
      <c r="L8" s="246"/>
      <c r="M8" s="244" t="s">
        <v>151</v>
      </c>
      <c r="N8" s="245"/>
      <c r="O8" s="245"/>
      <c r="P8" s="245"/>
      <c r="Q8" s="245"/>
      <c r="R8" s="246"/>
      <c r="S8" s="244" t="s">
        <v>151</v>
      </c>
      <c r="T8" s="245"/>
      <c r="U8" s="245"/>
      <c r="V8" s="245"/>
      <c r="W8" s="245"/>
      <c r="X8" s="245"/>
      <c r="Y8" s="246"/>
    </row>
    <row r="9" spans="2:25" ht="16.5" customHeight="1">
      <c r="B9" s="249" t="s">
        <v>67</v>
      </c>
      <c r="C9" s="251" t="s">
        <v>82</v>
      </c>
      <c r="D9" s="55"/>
      <c r="E9" s="249" t="s">
        <v>67</v>
      </c>
      <c r="F9" s="251" t="s">
        <v>131</v>
      </c>
      <c r="G9" s="255" t="s">
        <v>66</v>
      </c>
      <c r="H9" s="255"/>
      <c r="I9" s="256"/>
      <c r="J9" s="234" t="s">
        <v>19</v>
      </c>
      <c r="K9" s="235"/>
      <c r="L9" s="236"/>
      <c r="M9" s="234" t="s">
        <v>27</v>
      </c>
      <c r="N9" s="235"/>
      <c r="O9" s="236"/>
      <c r="P9" s="234" t="s">
        <v>20</v>
      </c>
      <c r="Q9" s="235"/>
      <c r="R9" s="236"/>
      <c r="S9" s="234" t="s">
        <v>143</v>
      </c>
      <c r="T9" s="235"/>
      <c r="U9" s="236"/>
      <c r="V9" s="234" t="s">
        <v>7</v>
      </c>
      <c r="W9" s="235"/>
      <c r="X9" s="235"/>
      <c r="Y9" s="236"/>
    </row>
    <row r="10" spans="2:25" ht="17.25" customHeight="1">
      <c r="B10" s="250"/>
      <c r="C10" s="252"/>
      <c r="D10" s="49"/>
      <c r="E10" s="250"/>
      <c r="F10" s="252"/>
      <c r="G10" s="91">
        <v>2010</v>
      </c>
      <c r="H10" s="82">
        <v>2011</v>
      </c>
      <c r="I10" s="83" t="s">
        <v>14</v>
      </c>
      <c r="J10" s="91">
        <v>2010</v>
      </c>
      <c r="K10" s="82">
        <v>2011</v>
      </c>
      <c r="L10" s="83" t="s">
        <v>14</v>
      </c>
      <c r="M10" s="91">
        <v>2010</v>
      </c>
      <c r="N10" s="82">
        <v>2011</v>
      </c>
      <c r="O10" s="83" t="s">
        <v>14</v>
      </c>
      <c r="P10" s="91">
        <v>2010</v>
      </c>
      <c r="Q10" s="82">
        <v>2011</v>
      </c>
      <c r="R10" s="83" t="s">
        <v>14</v>
      </c>
      <c r="S10" s="91">
        <v>2010</v>
      </c>
      <c r="T10" s="82">
        <v>2011</v>
      </c>
      <c r="U10" s="83" t="s">
        <v>14</v>
      </c>
      <c r="V10" s="91">
        <v>2010</v>
      </c>
      <c r="W10" s="82">
        <v>2011</v>
      </c>
      <c r="X10" s="82" t="s">
        <v>14</v>
      </c>
      <c r="Y10" s="38" t="s">
        <v>15</v>
      </c>
    </row>
    <row r="11" spans="2:25" ht="4.5" customHeight="1">
      <c r="B11" s="84"/>
      <c r="C11" s="85"/>
      <c r="D11" s="92"/>
      <c r="E11" s="84"/>
      <c r="F11" s="85"/>
      <c r="G11" s="86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86"/>
      <c r="S11" s="86"/>
      <c r="T11" s="87"/>
      <c r="U11" s="86"/>
      <c r="V11" s="88"/>
      <c r="W11" s="87"/>
      <c r="X11" s="85"/>
      <c r="Y11" s="129"/>
    </row>
    <row r="12" spans="2:27" ht="12.75" customHeight="1">
      <c r="B12" s="69" t="s">
        <v>49</v>
      </c>
      <c r="C12" s="101" t="s">
        <v>75</v>
      </c>
      <c r="D12" s="97"/>
      <c r="E12" s="69" t="s">
        <v>49</v>
      </c>
      <c r="F12" s="101" t="s">
        <v>75</v>
      </c>
      <c r="G12" s="164">
        <v>24686129</v>
      </c>
      <c r="H12" s="165">
        <v>43843660</v>
      </c>
      <c r="I12" s="166">
        <f aca="true" t="shared" si="0" ref="I12:I18">+H12-G12</f>
        <v>19157531</v>
      </c>
      <c r="J12" s="164">
        <f>10735556+8829953+8959670</f>
        <v>28525179</v>
      </c>
      <c r="K12" s="165">
        <f>9864896+7830116+7944142</f>
        <v>25639154</v>
      </c>
      <c r="L12" s="166">
        <f>+K12-J12</f>
        <v>-2886025</v>
      </c>
      <c r="M12" s="164">
        <v>0</v>
      </c>
      <c r="N12" s="165"/>
      <c r="O12" s="166">
        <f>+N12-M12</f>
        <v>0</v>
      </c>
      <c r="P12" s="164">
        <v>0</v>
      </c>
      <c r="Q12" s="165">
        <v>1002</v>
      </c>
      <c r="R12" s="166">
        <f>+Q12-P12</f>
        <v>1002</v>
      </c>
      <c r="S12" s="164">
        <v>0</v>
      </c>
      <c r="T12" s="165">
        <v>0</v>
      </c>
      <c r="U12" s="166">
        <f>+T12-S12</f>
        <v>0</v>
      </c>
      <c r="V12" s="164">
        <f>+P12+M12+J12+S12</f>
        <v>28525179</v>
      </c>
      <c r="W12" s="165">
        <f>+Q12+N12+K12+T12</f>
        <v>25640156</v>
      </c>
      <c r="X12" s="166">
        <f aca="true" t="shared" si="1" ref="X12:X18">+W12-V12</f>
        <v>-2885023</v>
      </c>
      <c r="Y12" s="199">
        <f aca="true" t="shared" si="2" ref="Y12:Y28">IF(V12=0," ",X12/V12)</f>
        <v>-0.10113952308590246</v>
      </c>
      <c r="AA12" s="39"/>
    </row>
    <row r="13" spans="2:27" ht="12.75" customHeight="1">
      <c r="B13" s="69"/>
      <c r="C13" s="101"/>
      <c r="D13" s="97"/>
      <c r="E13" s="69"/>
      <c r="F13" s="101"/>
      <c r="G13" s="164"/>
      <c r="H13" s="165"/>
      <c r="I13" s="167"/>
      <c r="J13" s="164"/>
      <c r="K13" s="165"/>
      <c r="L13" s="167"/>
      <c r="M13" s="164"/>
      <c r="N13" s="165"/>
      <c r="O13" s="167"/>
      <c r="P13" s="164"/>
      <c r="Q13" s="165"/>
      <c r="R13" s="167"/>
      <c r="S13" s="164"/>
      <c r="T13" s="165"/>
      <c r="U13" s="167"/>
      <c r="V13" s="164"/>
      <c r="W13" s="165"/>
      <c r="X13" s="167"/>
      <c r="Y13" s="199"/>
      <c r="AA13" s="39"/>
    </row>
    <row r="14" spans="2:27" ht="12.75" customHeight="1">
      <c r="B14" s="69" t="s">
        <v>48</v>
      </c>
      <c r="C14" s="101" t="s">
        <v>74</v>
      </c>
      <c r="D14" s="97"/>
      <c r="E14" s="69" t="s">
        <v>48</v>
      </c>
      <c r="F14" s="101" t="s">
        <v>74</v>
      </c>
      <c r="G14" s="164">
        <v>59344599</v>
      </c>
      <c r="H14" s="165">
        <v>70347214</v>
      </c>
      <c r="I14" s="166">
        <f t="shared" si="0"/>
        <v>11002615</v>
      </c>
      <c r="J14" s="164">
        <f>16322431+15338512+17501128</f>
        <v>49162071</v>
      </c>
      <c r="K14" s="165">
        <f>18411562+16992524+16656867</f>
        <v>52060953</v>
      </c>
      <c r="L14" s="166">
        <f>+K14-J14</f>
        <v>2898882</v>
      </c>
      <c r="M14" s="164">
        <v>0</v>
      </c>
      <c r="N14" s="165"/>
      <c r="O14" s="166">
        <f>+N14-M14</f>
        <v>0</v>
      </c>
      <c r="P14" s="164">
        <v>0</v>
      </c>
      <c r="Q14" s="165">
        <v>0</v>
      </c>
      <c r="R14" s="166">
        <f>+Q14-P14</f>
        <v>0</v>
      </c>
      <c r="S14" s="164">
        <v>0</v>
      </c>
      <c r="T14" s="165">
        <v>0</v>
      </c>
      <c r="U14" s="166">
        <f>+T14-S14</f>
        <v>0</v>
      </c>
      <c r="V14" s="164">
        <f aca="true" t="shared" si="3" ref="V14:W18">+P14+M14+J14+S14</f>
        <v>49162071</v>
      </c>
      <c r="W14" s="165">
        <f t="shared" si="3"/>
        <v>52060953</v>
      </c>
      <c r="X14" s="166">
        <f t="shared" si="1"/>
        <v>2898882</v>
      </c>
      <c r="Y14" s="199">
        <f t="shared" si="2"/>
        <v>0.058965823469885964</v>
      </c>
      <c r="AA14" s="39"/>
    </row>
    <row r="15" spans="2:27" ht="12.75" customHeight="1">
      <c r="B15" s="69" t="s">
        <v>50</v>
      </c>
      <c r="C15" s="101" t="s">
        <v>68</v>
      </c>
      <c r="D15" s="97"/>
      <c r="E15" s="69" t="s">
        <v>50</v>
      </c>
      <c r="F15" s="101" t="s">
        <v>68</v>
      </c>
      <c r="G15" s="164">
        <v>162365474</v>
      </c>
      <c r="H15" s="165">
        <v>185571190</v>
      </c>
      <c r="I15" s="166">
        <f t="shared" si="0"/>
        <v>23205716</v>
      </c>
      <c r="J15" s="164">
        <f>43041797+40866004+43999429</f>
        <v>127907230</v>
      </c>
      <c r="K15" s="165">
        <f>51487924+45870241+44051100</f>
        <v>141409265</v>
      </c>
      <c r="L15" s="166">
        <f>+K15-J15</f>
        <v>13502035</v>
      </c>
      <c r="M15" s="164">
        <v>0</v>
      </c>
      <c r="N15" s="165"/>
      <c r="O15" s="166">
        <f>+N15-M15</f>
        <v>0</v>
      </c>
      <c r="P15" s="164">
        <v>0</v>
      </c>
      <c r="Q15" s="165">
        <v>0</v>
      </c>
      <c r="R15" s="166">
        <f>+Q15-P15</f>
        <v>0</v>
      </c>
      <c r="S15" s="164">
        <v>0</v>
      </c>
      <c r="T15" s="165">
        <v>0</v>
      </c>
      <c r="U15" s="166">
        <f>+T15-S15</f>
        <v>0</v>
      </c>
      <c r="V15" s="164">
        <f t="shared" si="3"/>
        <v>127907230</v>
      </c>
      <c r="W15" s="165">
        <f t="shared" si="3"/>
        <v>141409265</v>
      </c>
      <c r="X15" s="166">
        <f t="shared" si="1"/>
        <v>13502035</v>
      </c>
      <c r="Y15" s="199">
        <f t="shared" si="2"/>
        <v>0.10556115553436658</v>
      </c>
      <c r="AA15" s="39"/>
    </row>
    <row r="16" spans="2:27" ht="12.75" customHeight="1">
      <c r="B16" s="70" t="s">
        <v>59</v>
      </c>
      <c r="C16" s="101" t="s">
        <v>73</v>
      </c>
      <c r="D16" s="97"/>
      <c r="E16" s="70" t="s">
        <v>59</v>
      </c>
      <c r="F16" s="101" t="s">
        <v>73</v>
      </c>
      <c r="G16" s="164">
        <v>180000</v>
      </c>
      <c r="H16" s="165">
        <v>200</v>
      </c>
      <c r="I16" s="166">
        <f t="shared" si="0"/>
        <v>-179800</v>
      </c>
      <c r="J16" s="164">
        <f>177-105</f>
        <v>72</v>
      </c>
      <c r="K16" s="165">
        <v>-44</v>
      </c>
      <c r="L16" s="166">
        <f>+K16-J16</f>
        <v>-116</v>
      </c>
      <c r="M16" s="164">
        <v>0</v>
      </c>
      <c r="N16" s="165">
        <v>-89869</v>
      </c>
      <c r="O16" s="166">
        <f>+N16-M16</f>
        <v>-89869</v>
      </c>
      <c r="P16" s="164">
        <f>-267549-222337-16516</f>
        <v>-506402</v>
      </c>
      <c r="Q16" s="165">
        <v>135395</v>
      </c>
      <c r="R16" s="166">
        <f>+Q16-P16</f>
        <v>641797</v>
      </c>
      <c r="S16" s="164">
        <v>0</v>
      </c>
      <c r="T16" s="165">
        <v>0</v>
      </c>
      <c r="U16" s="166">
        <f>+T16-S16</f>
        <v>0</v>
      </c>
      <c r="V16" s="164">
        <f t="shared" si="3"/>
        <v>-506330</v>
      </c>
      <c r="W16" s="165">
        <f t="shared" si="3"/>
        <v>45482</v>
      </c>
      <c r="X16" s="166">
        <f t="shared" si="1"/>
        <v>551812</v>
      </c>
      <c r="Y16" s="199">
        <f t="shared" si="2"/>
        <v>-1.0898267928031127</v>
      </c>
      <c r="AA16" s="39"/>
    </row>
    <row r="17" spans="2:27" ht="12.75" customHeight="1">
      <c r="B17" s="69" t="s">
        <v>60</v>
      </c>
      <c r="C17" s="101" t="s">
        <v>71</v>
      </c>
      <c r="D17" s="97"/>
      <c r="E17" s="69" t="s">
        <v>60</v>
      </c>
      <c r="F17" s="101" t="s">
        <v>71</v>
      </c>
      <c r="G17" s="164">
        <v>2792606</v>
      </c>
      <c r="H17" s="165">
        <v>3435437</v>
      </c>
      <c r="I17" s="166">
        <f t="shared" si="0"/>
        <v>642831</v>
      </c>
      <c r="J17" s="164">
        <f>1403174+1478776+930613</f>
        <v>3812563</v>
      </c>
      <c r="K17" s="165">
        <f>972516+1649633+5357858</f>
        <v>7980007</v>
      </c>
      <c r="L17" s="166">
        <f>+K17-J17</f>
        <v>4167444</v>
      </c>
      <c r="M17" s="164">
        <v>0</v>
      </c>
      <c r="N17" s="165"/>
      <c r="O17" s="166">
        <f>+N17-M17</f>
        <v>0</v>
      </c>
      <c r="P17" s="164"/>
      <c r="Q17" s="165"/>
      <c r="R17" s="166">
        <f>+Q17-P17</f>
        <v>0</v>
      </c>
      <c r="S17" s="164">
        <v>0</v>
      </c>
      <c r="T17" s="165">
        <v>0</v>
      </c>
      <c r="U17" s="166">
        <f>+T17-S17</f>
        <v>0</v>
      </c>
      <c r="V17" s="164">
        <f t="shared" si="3"/>
        <v>3812563</v>
      </c>
      <c r="W17" s="165">
        <f t="shared" si="3"/>
        <v>7980007</v>
      </c>
      <c r="X17" s="166">
        <f t="shared" si="1"/>
        <v>4167444</v>
      </c>
      <c r="Y17" s="199">
        <f t="shared" si="2"/>
        <v>1.093082002841658</v>
      </c>
      <c r="AA17" s="39"/>
    </row>
    <row r="18" spans="2:27" ht="12.75" customHeight="1">
      <c r="B18" s="70" t="s">
        <v>55</v>
      </c>
      <c r="C18" s="101" t="s">
        <v>72</v>
      </c>
      <c r="D18" s="97"/>
      <c r="E18" s="70" t="s">
        <v>55</v>
      </c>
      <c r="F18" s="128" t="s">
        <v>72</v>
      </c>
      <c r="G18" s="164">
        <v>453072</v>
      </c>
      <c r="H18" s="165">
        <v>1235421</v>
      </c>
      <c r="I18" s="166">
        <f t="shared" si="0"/>
        <v>782349</v>
      </c>
      <c r="J18" s="164">
        <f>215430+1072995+336665</f>
        <v>1625090</v>
      </c>
      <c r="K18" s="165">
        <f>444632+253591+369575</f>
        <v>1067798</v>
      </c>
      <c r="L18" s="166">
        <f>+K18-J18</f>
        <v>-557292</v>
      </c>
      <c r="M18" s="164">
        <v>0</v>
      </c>
      <c r="N18" s="165"/>
      <c r="O18" s="166">
        <f>+N18-M18</f>
        <v>0</v>
      </c>
      <c r="P18" s="164">
        <v>0</v>
      </c>
      <c r="Q18" s="165">
        <v>42220</v>
      </c>
      <c r="R18" s="166">
        <f>+Q18-P18</f>
        <v>42220</v>
      </c>
      <c r="S18" s="164">
        <v>0</v>
      </c>
      <c r="T18" s="165">
        <v>0</v>
      </c>
      <c r="U18" s="166">
        <f>+T18-S18</f>
        <v>0</v>
      </c>
      <c r="V18" s="164">
        <f t="shared" si="3"/>
        <v>1625090</v>
      </c>
      <c r="W18" s="165">
        <f t="shared" si="3"/>
        <v>1110018</v>
      </c>
      <c r="X18" s="166">
        <f t="shared" si="1"/>
        <v>-515072</v>
      </c>
      <c r="Y18" s="199">
        <f t="shared" si="2"/>
        <v>-0.3169498304709278</v>
      </c>
      <c r="AA18" s="39"/>
    </row>
    <row r="19" spans="2:27" ht="12.75" customHeight="1">
      <c r="B19" s="104"/>
      <c r="C19" s="100"/>
      <c r="D19" s="95"/>
      <c r="E19" s="104"/>
      <c r="F19" s="100"/>
      <c r="G19" s="168"/>
      <c r="H19" s="169"/>
      <c r="I19" s="170"/>
      <c r="J19" s="168"/>
      <c r="K19" s="169"/>
      <c r="L19" s="170"/>
      <c r="M19" s="168"/>
      <c r="N19" s="169"/>
      <c r="O19" s="170"/>
      <c r="P19" s="168"/>
      <c r="Q19" s="169"/>
      <c r="R19" s="170"/>
      <c r="S19" s="168"/>
      <c r="T19" s="169"/>
      <c r="U19" s="170"/>
      <c r="V19" s="168"/>
      <c r="W19" s="169"/>
      <c r="X19" s="170"/>
      <c r="Y19" s="200"/>
      <c r="AA19" s="39"/>
    </row>
    <row r="20" spans="2:27" ht="12.75" customHeight="1">
      <c r="B20" s="70" t="s">
        <v>53</v>
      </c>
      <c r="C20" s="101" t="s">
        <v>70</v>
      </c>
      <c r="D20" s="97"/>
      <c r="E20" s="70" t="s">
        <v>53</v>
      </c>
      <c r="F20" s="101" t="s">
        <v>70</v>
      </c>
      <c r="G20" s="164">
        <v>116216643</v>
      </c>
      <c r="H20" s="165">
        <v>54921782</v>
      </c>
      <c r="I20" s="166">
        <f>+H20-G20</f>
        <v>-61294861</v>
      </c>
      <c r="J20" s="164">
        <v>0</v>
      </c>
      <c r="K20" s="165">
        <v>0</v>
      </c>
      <c r="L20" s="166">
        <f>+K20-J20</f>
        <v>0</v>
      </c>
      <c r="M20" s="164">
        <v>0</v>
      </c>
      <c r="N20" s="165"/>
      <c r="O20" s="166">
        <f>+N20-M20</f>
        <v>0</v>
      </c>
      <c r="P20" s="164">
        <f>25641602+21420517+21526283</f>
        <v>68588402</v>
      </c>
      <c r="Q20" s="165">
        <v>50639908</v>
      </c>
      <c r="R20" s="166">
        <f>+Q20-P20</f>
        <v>-17948494</v>
      </c>
      <c r="S20" s="164">
        <v>5376874</v>
      </c>
      <c r="T20" s="165">
        <v>0</v>
      </c>
      <c r="U20" s="166">
        <f>+T20-S20</f>
        <v>-5376874</v>
      </c>
      <c r="V20" s="164">
        <f aca="true" t="shared" si="4" ref="V20:W22">+P20+M20+J20+S20</f>
        <v>73965276</v>
      </c>
      <c r="W20" s="165">
        <f t="shared" si="4"/>
        <v>50639908</v>
      </c>
      <c r="X20" s="166">
        <f>+W20-V20</f>
        <v>-23325368</v>
      </c>
      <c r="Y20" s="199">
        <f t="shared" si="2"/>
        <v>-0.31535565418562084</v>
      </c>
      <c r="AA20" s="39"/>
    </row>
    <row r="21" spans="2:27" ht="12.75" customHeight="1">
      <c r="B21" s="69" t="s">
        <v>136</v>
      </c>
      <c r="C21" s="101" t="s">
        <v>137</v>
      </c>
      <c r="D21" s="97"/>
      <c r="E21" s="69" t="s">
        <v>136</v>
      </c>
      <c r="F21" s="101" t="s">
        <v>137</v>
      </c>
      <c r="G21" s="164">
        <v>33950844</v>
      </c>
      <c r="H21" s="165">
        <v>0</v>
      </c>
      <c r="I21" s="166">
        <f>+H21-G21</f>
        <v>-33950844</v>
      </c>
      <c r="J21" s="164">
        <v>0</v>
      </c>
      <c r="K21" s="165">
        <v>0</v>
      </c>
      <c r="L21" s="166">
        <f>+K21-J21</f>
        <v>0</v>
      </c>
      <c r="M21" s="164">
        <v>0</v>
      </c>
      <c r="N21" s="165"/>
      <c r="O21" s="166">
        <f>+N21-M21</f>
        <v>0</v>
      </c>
      <c r="P21" s="164">
        <f>12014229+8340+40660</f>
        <v>12063229</v>
      </c>
      <c r="Q21" s="165">
        <v>0</v>
      </c>
      <c r="R21" s="166">
        <f>+Q21-P21</f>
        <v>-12063229</v>
      </c>
      <c r="S21" s="164">
        <v>21456726</v>
      </c>
      <c r="T21" s="165">
        <v>0</v>
      </c>
      <c r="U21" s="166">
        <f>+T21-S21</f>
        <v>-21456726</v>
      </c>
      <c r="V21" s="164">
        <f t="shared" si="4"/>
        <v>33519955</v>
      </c>
      <c r="W21" s="165">
        <f t="shared" si="4"/>
        <v>0</v>
      </c>
      <c r="X21" s="166">
        <f>+W21-V21</f>
        <v>-33519955</v>
      </c>
      <c r="Y21" s="199">
        <f>IF(V21=0," ",X21/V21)</f>
        <v>-1</v>
      </c>
      <c r="AA21" s="39"/>
    </row>
    <row r="22" spans="2:27" ht="12.75" customHeight="1">
      <c r="B22" s="69" t="s">
        <v>61</v>
      </c>
      <c r="C22" s="101" t="s">
        <v>76</v>
      </c>
      <c r="D22" s="97"/>
      <c r="E22" s="69" t="s">
        <v>61</v>
      </c>
      <c r="F22" s="101" t="s">
        <v>76</v>
      </c>
      <c r="G22" s="164">
        <v>0</v>
      </c>
      <c r="H22" s="165">
        <v>70286</v>
      </c>
      <c r="I22" s="166">
        <f>+H22-G22</f>
        <v>70286</v>
      </c>
      <c r="J22" s="164">
        <v>0</v>
      </c>
      <c r="K22" s="165">
        <v>0</v>
      </c>
      <c r="L22" s="166">
        <f>+K22-J22</f>
        <v>0</v>
      </c>
      <c r="M22" s="164">
        <v>0</v>
      </c>
      <c r="N22" s="165"/>
      <c r="O22" s="166">
        <f>+N22-M22</f>
        <v>0</v>
      </c>
      <c r="P22" s="164">
        <f>23856+23096+31821</f>
        <v>78773</v>
      </c>
      <c r="Q22" s="165">
        <v>160726</v>
      </c>
      <c r="R22" s="166">
        <f>+Q22-P22</f>
        <v>81953</v>
      </c>
      <c r="S22" s="164">
        <v>0</v>
      </c>
      <c r="T22" s="165">
        <v>0</v>
      </c>
      <c r="U22" s="166">
        <f>+T22-S22</f>
        <v>0</v>
      </c>
      <c r="V22" s="164">
        <f t="shared" si="4"/>
        <v>78773</v>
      </c>
      <c r="W22" s="165">
        <f t="shared" si="4"/>
        <v>160726</v>
      </c>
      <c r="X22" s="166">
        <f>+W22-V22</f>
        <v>81953</v>
      </c>
      <c r="Y22" s="199">
        <f t="shared" si="2"/>
        <v>1.0403691620225204</v>
      </c>
      <c r="AA22" s="39"/>
    </row>
    <row r="23" spans="2:27" ht="12.75" customHeight="1">
      <c r="B23" s="98"/>
      <c r="C23" s="103"/>
      <c r="D23" s="95"/>
      <c r="E23" s="98"/>
      <c r="F23" s="103"/>
      <c r="G23" s="168"/>
      <c r="H23" s="169"/>
      <c r="I23" s="170"/>
      <c r="J23" s="168"/>
      <c r="K23" s="169"/>
      <c r="L23" s="170"/>
      <c r="M23" s="168"/>
      <c r="N23" s="169"/>
      <c r="O23" s="170"/>
      <c r="P23" s="168"/>
      <c r="Q23" s="169"/>
      <c r="R23" s="170"/>
      <c r="S23" s="168"/>
      <c r="T23" s="169"/>
      <c r="U23" s="170"/>
      <c r="V23" s="168"/>
      <c r="W23" s="169"/>
      <c r="X23" s="170"/>
      <c r="Y23" s="200"/>
      <c r="AA23" s="39"/>
    </row>
    <row r="24" spans="2:27" ht="12.75" customHeight="1">
      <c r="B24" s="70" t="s">
        <v>138</v>
      </c>
      <c r="C24" s="101" t="s">
        <v>139</v>
      </c>
      <c r="D24" s="97"/>
      <c r="E24" s="70" t="s">
        <v>138</v>
      </c>
      <c r="F24" s="101" t="s">
        <v>139</v>
      </c>
      <c r="G24" s="164">
        <v>18970550</v>
      </c>
      <c r="H24" s="165">
        <v>28061100</v>
      </c>
      <c r="I24" s="166">
        <f>+H24-G24</f>
        <v>9090550</v>
      </c>
      <c r="J24" s="164">
        <v>0</v>
      </c>
      <c r="K24" s="165">
        <v>0</v>
      </c>
      <c r="L24" s="166">
        <f>+K24-J24</f>
        <v>0</v>
      </c>
      <c r="M24" s="164">
        <v>0</v>
      </c>
      <c r="N24" s="165">
        <v>4216433</v>
      </c>
      <c r="O24" s="166">
        <f>+N24-M24</f>
        <v>4216433</v>
      </c>
      <c r="P24" s="164">
        <v>0</v>
      </c>
      <c r="Q24" s="165"/>
      <c r="R24" s="166">
        <f>+Q24-P24</f>
        <v>0</v>
      </c>
      <c r="S24" s="164">
        <v>0</v>
      </c>
      <c r="T24" s="165">
        <v>0</v>
      </c>
      <c r="U24" s="166">
        <f>+T24-S24</f>
        <v>0</v>
      </c>
      <c r="V24" s="164">
        <f>+P24+M24+J24+S24</f>
        <v>0</v>
      </c>
      <c r="W24" s="165">
        <f>+Q24+N24+K24+T24</f>
        <v>4216433</v>
      </c>
      <c r="X24" s="166">
        <f>+W24-V24</f>
        <v>4216433</v>
      </c>
      <c r="Y24" s="199" t="str">
        <f>IF(V24=0," ",X24/V24)</f>
        <v> </v>
      </c>
      <c r="AA24" s="39"/>
    </row>
    <row r="25" spans="2:27" ht="12.75" customHeight="1">
      <c r="B25" s="98"/>
      <c r="C25" s="103"/>
      <c r="D25" s="95"/>
      <c r="E25" s="98"/>
      <c r="F25" s="103"/>
      <c r="G25" s="168"/>
      <c r="H25" s="169"/>
      <c r="I25" s="170"/>
      <c r="J25" s="168"/>
      <c r="K25" s="169"/>
      <c r="L25" s="170"/>
      <c r="M25" s="168"/>
      <c r="N25" s="169"/>
      <c r="O25" s="170"/>
      <c r="P25" s="168"/>
      <c r="Q25" s="169"/>
      <c r="R25" s="170"/>
      <c r="S25" s="168"/>
      <c r="T25" s="169"/>
      <c r="U25" s="170"/>
      <c r="V25" s="168"/>
      <c r="W25" s="169"/>
      <c r="X25" s="170"/>
      <c r="Y25" s="200"/>
      <c r="AA25" s="39"/>
    </row>
    <row r="26" spans="2:27" ht="12.75" customHeight="1">
      <c r="B26" s="70" t="s">
        <v>58</v>
      </c>
      <c r="C26" s="101" t="s">
        <v>69</v>
      </c>
      <c r="D26" s="97"/>
      <c r="E26" s="70" t="s">
        <v>58</v>
      </c>
      <c r="F26" s="101" t="s">
        <v>69</v>
      </c>
      <c r="G26" s="164">
        <v>92988652</v>
      </c>
      <c r="H26" s="165">
        <v>182362687</v>
      </c>
      <c r="I26" s="166">
        <f>+H26-G26</f>
        <v>89374035</v>
      </c>
      <c r="J26" s="164">
        <f>74985764+350675+167610</f>
        <v>75504049</v>
      </c>
      <c r="K26" s="165">
        <f>104504858+254693-14093</f>
        <v>104745458</v>
      </c>
      <c r="L26" s="166">
        <f>+K26-J26</f>
        <v>29241409</v>
      </c>
      <c r="M26" s="164">
        <v>2168250</v>
      </c>
      <c r="N26" s="165">
        <v>1896287</v>
      </c>
      <c r="O26" s="166">
        <f>+N26-M26</f>
        <v>-271963</v>
      </c>
      <c r="P26" s="164">
        <f>29032656+85962+21496</f>
        <v>29140114</v>
      </c>
      <c r="Q26" s="165">
        <v>73053807</v>
      </c>
      <c r="R26" s="166">
        <f>+Q26-P26</f>
        <v>43913693</v>
      </c>
      <c r="S26" s="164">
        <v>0</v>
      </c>
      <c r="T26" s="165">
        <v>10475901</v>
      </c>
      <c r="U26" s="166">
        <f>+T26-S26</f>
        <v>10475901</v>
      </c>
      <c r="V26" s="164">
        <f>+P26+M26+J26+S26</f>
        <v>106812413</v>
      </c>
      <c r="W26" s="165">
        <f>+Q26+N26+K26+T26</f>
        <v>190171453</v>
      </c>
      <c r="X26" s="166">
        <f>+W26-V26</f>
        <v>83359040</v>
      </c>
      <c r="Y26" s="199">
        <f t="shared" si="2"/>
        <v>0.7804246497080821</v>
      </c>
      <c r="AA26" s="39"/>
    </row>
    <row r="27" spans="2:27" ht="12.75" customHeight="1">
      <c r="B27" s="99"/>
      <c r="C27" s="96"/>
      <c r="D27" s="97"/>
      <c r="E27" s="105"/>
      <c r="F27" s="102"/>
      <c r="G27" s="164"/>
      <c r="H27" s="165"/>
      <c r="I27" s="166"/>
      <c r="J27" s="164"/>
      <c r="K27" s="165"/>
      <c r="L27" s="166"/>
      <c r="M27" s="164"/>
      <c r="N27" s="165"/>
      <c r="O27" s="166"/>
      <c r="P27" s="164"/>
      <c r="Q27" s="165"/>
      <c r="R27" s="166"/>
      <c r="S27" s="164"/>
      <c r="T27" s="165"/>
      <c r="U27" s="166"/>
      <c r="V27" s="164"/>
      <c r="W27" s="165"/>
      <c r="X27" s="166"/>
      <c r="Y27" s="201" t="str">
        <f t="shared" si="2"/>
        <v> </v>
      </c>
      <c r="AA27" s="39"/>
    </row>
    <row r="28" spans="2:25" ht="20.25" customHeight="1" thickBot="1">
      <c r="B28" s="247" t="s">
        <v>7</v>
      </c>
      <c r="C28" s="248"/>
      <c r="D28" s="55"/>
      <c r="E28" s="247" t="s">
        <v>7</v>
      </c>
      <c r="F28" s="248"/>
      <c r="G28" s="162">
        <f>+G26+G24+G22+G21+G20+G18+G17+G16+G15+G14+G12</f>
        <v>511948569</v>
      </c>
      <c r="H28" s="108">
        <f aca="true" t="shared" si="5" ref="H28:X28">+H26+H24+H22+H21+H20+H18+H17+H16+H15+H14+H12</f>
        <v>569848977</v>
      </c>
      <c r="I28" s="109">
        <f t="shared" si="5"/>
        <v>57900408</v>
      </c>
      <c r="J28" s="162">
        <f t="shared" si="5"/>
        <v>286536254</v>
      </c>
      <c r="K28" s="108">
        <f t="shared" si="5"/>
        <v>332902591</v>
      </c>
      <c r="L28" s="109">
        <f t="shared" si="5"/>
        <v>46366337</v>
      </c>
      <c r="M28" s="162">
        <f t="shared" si="5"/>
        <v>2168250</v>
      </c>
      <c r="N28" s="108">
        <f t="shared" si="5"/>
        <v>6022851</v>
      </c>
      <c r="O28" s="109">
        <f t="shared" si="5"/>
        <v>3854601</v>
      </c>
      <c r="P28" s="162">
        <f t="shared" si="5"/>
        <v>109364116</v>
      </c>
      <c r="Q28" s="108">
        <f t="shared" si="5"/>
        <v>124033058</v>
      </c>
      <c r="R28" s="109">
        <f t="shared" si="5"/>
        <v>14668942</v>
      </c>
      <c r="S28" s="162">
        <f>+S26+S24+S22+S21+S20+S18+S17+S16+S15+S14+S12</f>
        <v>26833600</v>
      </c>
      <c r="T28" s="108">
        <f>+T26+T24+T22+T21+T20+T18+T17+T16+T15+T14+T12</f>
        <v>10475901</v>
      </c>
      <c r="U28" s="109">
        <f>+U26+U24+U22+U21+U20+U18+U17+U16+U15+U14+U12</f>
        <v>-16357699</v>
      </c>
      <c r="V28" s="162">
        <f t="shared" si="5"/>
        <v>424902220</v>
      </c>
      <c r="W28" s="108">
        <f t="shared" si="5"/>
        <v>473434401</v>
      </c>
      <c r="X28" s="109">
        <f t="shared" si="5"/>
        <v>48532181</v>
      </c>
      <c r="Y28" s="72">
        <f t="shared" si="2"/>
        <v>0.11421964563988392</v>
      </c>
    </row>
    <row r="29" spans="10:25" ht="12.75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4" ht="13.5">
      <c r="B30" s="42" t="s">
        <v>153</v>
      </c>
      <c r="D30" s="90"/>
      <c r="E30" s="90"/>
      <c r="H30" s="39"/>
      <c r="J30" s="39"/>
      <c r="V30" s="39"/>
      <c r="W30" s="39"/>
      <c r="X30" s="39"/>
    </row>
    <row r="31" spans="4:25" ht="13.5">
      <c r="D31" s="94"/>
      <c r="E31" s="9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11" s="2" customFormat="1" ht="11.25">
      <c r="B32" s="46" t="s">
        <v>83</v>
      </c>
      <c r="D32" s="46"/>
      <c r="E32" s="46"/>
      <c r="K32" s="3"/>
    </row>
    <row r="33" spans="2:25" s="2" customFormat="1" ht="11.25">
      <c r="B33" s="106" t="s">
        <v>28</v>
      </c>
      <c r="C33" s="71" t="s">
        <v>47</v>
      </c>
      <c r="D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107" t="s">
        <v>51</v>
      </c>
      <c r="C34" s="71" t="s">
        <v>52</v>
      </c>
      <c r="D34" s="48"/>
    </row>
    <row r="35" spans="2:4" s="2" customFormat="1" ht="11.25">
      <c r="B35" s="107" t="s">
        <v>21</v>
      </c>
      <c r="C35" s="71" t="s">
        <v>54</v>
      </c>
      <c r="D35" s="48"/>
    </row>
    <row r="36" spans="2:4" s="2" customFormat="1" ht="11.25">
      <c r="B36" s="163" t="s">
        <v>140</v>
      </c>
      <c r="C36" s="163" t="s">
        <v>141</v>
      </c>
      <c r="D36" s="48"/>
    </row>
    <row r="37" spans="2:4" s="2" customFormat="1" ht="11.25">
      <c r="B37" s="107" t="s">
        <v>56</v>
      </c>
      <c r="C37" s="71" t="s">
        <v>57</v>
      </c>
      <c r="D37" s="48"/>
    </row>
    <row r="38" spans="4:5" s="2" customFormat="1" ht="11.25">
      <c r="D38" s="46"/>
      <c r="E38" s="46"/>
    </row>
    <row r="39" spans="4:5" s="2" customFormat="1" ht="11.25">
      <c r="D39" s="46"/>
      <c r="E39" s="46"/>
    </row>
    <row r="40" spans="4:5" s="2" customFormat="1" ht="11.25">
      <c r="D40" s="46"/>
      <c r="E40" s="46"/>
    </row>
    <row r="41" spans="4:5" s="2" customFormat="1" ht="11.25">
      <c r="D41" s="46"/>
      <c r="E41" s="46"/>
    </row>
    <row r="42" spans="4:5" s="2" customFormat="1" ht="11.25">
      <c r="D42" s="46"/>
      <c r="E42" s="46"/>
    </row>
    <row r="43" spans="4:5" s="2" customFormat="1" ht="11.25">
      <c r="D43" s="46"/>
      <c r="E43" s="46"/>
    </row>
    <row r="44" spans="4:5" s="2" customFormat="1" ht="11.25">
      <c r="D44" s="46"/>
      <c r="E44" s="46"/>
    </row>
    <row r="45" spans="4:5" s="2" customFormat="1" ht="11.25">
      <c r="D45" s="46"/>
      <c r="E45" s="46"/>
    </row>
  </sheetData>
  <sheetProtection/>
  <mergeCells count="19">
    <mergeCell ref="J8:L8"/>
    <mergeCell ref="M8:R8"/>
    <mergeCell ref="S8:Y8"/>
    <mergeCell ref="B2:L2"/>
    <mergeCell ref="B3:L3"/>
    <mergeCell ref="B4:L4"/>
    <mergeCell ref="C9:C10"/>
    <mergeCell ref="G9:I9"/>
    <mergeCell ref="J9:L9"/>
    <mergeCell ref="M9:O9"/>
    <mergeCell ref="P9:R9"/>
    <mergeCell ref="G8:I8"/>
    <mergeCell ref="S9:U9"/>
    <mergeCell ref="E28:F28"/>
    <mergeCell ref="B28:C28"/>
    <mergeCell ref="V9:Y9"/>
    <mergeCell ref="B9:B10"/>
    <mergeCell ref="E9:E10"/>
    <mergeCell ref="F9:F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0" r:id="rId1"/>
  <headerFooter alignWithMargins="0">
    <oddHeader>&amp;C
&amp;"Arial,Negrita"&amp;14INGRESOS COMPARATIVOS  AL TERCER TRIMESTRE DE LOS AÑOS FISCALES 2010 - 2011&amp;"Arial,Normal"&amp;10
&amp;"Arial,Negrita"&amp;12A NIVEL DE PARTIDA GENERICA
(EN NUEVOS SOLES)</oddHeader>
    <oddFooter>&amp;CPágina &amp;P de &amp;N</oddFooter>
  </headerFooter>
  <colBreaks count="2" manualBreakCount="2">
    <brk id="12" min="1" max="37" man="1"/>
    <brk id="18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2011-10-11T23:23:25Z</cp:lastPrinted>
  <dcterms:created xsi:type="dcterms:W3CDTF">2005-04-28T15:55:54Z</dcterms:created>
  <dcterms:modified xsi:type="dcterms:W3CDTF">2011-10-11T23:29:29Z</dcterms:modified>
  <cp:category/>
  <cp:version/>
  <cp:contentType/>
  <cp:contentStatus/>
</cp:coreProperties>
</file>