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3285" activeTab="0"/>
  </bookViews>
  <sheets>
    <sheet name="Egresos_1" sheetId="1" r:id="rId1"/>
    <sheet name="Egresos_2" sheetId="2" r:id="rId2"/>
    <sheet name="Gto_09_10" sheetId="3" r:id="rId3"/>
    <sheet name="Ing_2016_2017" sheetId="4" r:id="rId4"/>
  </sheets>
  <definedNames>
    <definedName name="_xlnm.Print_Area" localSheetId="0">'Egresos_1'!$A$1:$O$38</definedName>
    <definedName name="_xlnm.Print_Area" localSheetId="1">'Egresos_2'!$B$2:$N$43</definedName>
    <definedName name="_xlnm.Print_Area" localSheetId="2">'Gto_09_10'!$B$3:$U$32</definedName>
    <definedName name="_xlnm.Print_Area" localSheetId="3">'Ing_2016_2017'!$B$2:$W$41</definedName>
  </definedNames>
  <calcPr fullCalcOnLoad="1"/>
</workbook>
</file>

<file path=xl/sharedStrings.xml><?xml version="1.0" encoding="utf-8"?>
<sst xmlns="http://schemas.openxmlformats.org/spreadsheetml/2006/main" count="191" uniqueCount="154">
  <si>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</si>
  <si>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</si>
  <si>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</si>
  <si>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</si>
  <si>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</si>
  <si>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</si>
  <si>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</si>
  <si>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</si>
  <si>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</si>
  <si>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</si>
  <si>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</si>
  <si>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</si>
  <si>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</si>
  <si>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</si>
  <si>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</si>
  <si>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</si>
  <si>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</si>
  <si>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</si>
  <si>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</si>
  <si>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</si>
  <si>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</si>
  <si>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</si>
  <si>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</si>
  <si>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</si>
  <si>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</si>
  <si>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</si>
  <si>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</si>
  <si>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</si>
  <si>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</si>
  <si>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</si>
  <si>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</si>
  <si>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</si>
  <si>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</si>
  <si>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</si>
  <si>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</si>
  <si>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</si>
  <si>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</si>
  <si>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</si>
  <si>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</si>
  <si>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</si>
  <si>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</si>
  <si>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</si>
  <si>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</si>
  <si>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</si>
  <si>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</si>
  <si>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</si>
  <si>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</si>
  <si>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</si>
  <si>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</si>
  <si>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</si>
  <si>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</si>
  <si>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</si>
  <si>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</si>
  <si>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</si>
  <si>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</si>
  <si>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</si>
  <si>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</si>
  <si>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</si>
  <si>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</si>
  <si>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</si>
  <si>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</si>
  <si>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</si>
  <si>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19 / 3 OPERACIONES OFICIALES CREDITO EXTERNO (*)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</si>
  <si>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</si>
  <si>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</si>
  <si>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</si>
  <si>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</si>
  <si>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</si>
  <si>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</si>
  <si>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</si>
  <si>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</si>
  <si>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</si>
  <si>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</si>
  <si>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</si>
  <si>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</si>
  <si>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</si>
  <si>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</si>
  <si>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</si>
  <si>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</si>
  <si>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</si>
  <si>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</si>
  <si>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</si>
  <si>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</si>
  <si>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</si>
  <si>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</si>
  <si>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</si>
  <si>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</si>
  <si>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</si>
  <si>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</si>
  <si>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</si>
  <si>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</si>
  <si>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</si>
  <si>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</si>
  <si>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</si>
  <si>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</si>
  <si>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</si>
  <si>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</si>
  <si>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</si>
  <si>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</si>
  <si>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</si>
  <si>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</si>
  <si>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</si>
  <si>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t>1.4.2</t>
  </si>
  <si>
    <t>1.8.1</t>
  </si>
  <si>
    <t>1.8.0</t>
  </si>
  <si>
    <t xml:space="preserve">  ENDEUDAMIENTO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</si>
  <si>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 Trimestre se encuentra a Nivel de Devengados</t>
    </r>
  </si>
  <si>
    <t>RECURSOS DETERMINADOS</t>
  </si>
  <si>
    <t>2  DONACIONES Y TRANSFERENCIAS DE CAPITAL</t>
  </si>
  <si>
    <t>1.8.2</t>
  </si>
  <si>
    <t>AÑO FISCAL 2016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</si>
  <si>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</si>
  <si>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</si>
  <si>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</si>
  <si>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</si>
  <si>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</si>
  <si>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</si>
  <si>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</si>
  <si>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</si>
  <si>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</si>
  <si>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</si>
  <si>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AÑO FISCAL 2017</t>
  </si>
  <si>
    <t>2.5 Otros Gastos</t>
  </si>
  <si>
    <t>2.4 Donaciones y Transferencias (**)</t>
  </si>
  <si>
    <t>2.5 Otros Gastos (***)</t>
  </si>
  <si>
    <r>
      <t>(**)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</si>
  <si>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r>
      <t>(***)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</si>
  <si>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t>DENOMINACION 
INGRESO - 2017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</si>
  <si>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</si>
  <si>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</si>
  <si>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</si>
  <si>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</si>
  <si>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</si>
  <si>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</si>
  <si>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</si>
  <si>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</si>
  <si>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</si>
  <si>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</si>
  <si>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</si>
  <si>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</si>
  <si>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</si>
  <si>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</si>
  <si>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</si>
  <si>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</si>
  <si>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>EJECUCION AL         MES DE JUNIO
 /*</t>
  </si>
  <si>
    <t>PRESUPUESTO DE EGRESOS COMPARATIVO AL II TRIMESTRE (ENERO - JUNIO) AÑOS FISCALES 2016 - 2017</t>
  </si>
  <si>
    <t>EJECUCION AL
II TRIMESTRE (*)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</si>
  <si>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 Trimestre se encuentra a Nivel de Devengados</t>
    </r>
  </si>
  <si>
    <t>Fuente : Consulta Amigable: Base de Datos MEF, al 30 de Junio del 2017</t>
  </si>
  <si>
    <t>RESULTADOS OPERATIVOS COMPARATIVOS AL SEGUNDO TRIMESTRE AÑOS FISCALES 2016 - 2017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</si>
  <si>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se encuentra a Nivel de Devengados</t>
    </r>
  </si>
  <si>
    <t>EJECUCION AL II TRIMESTRE (*)</t>
  </si>
  <si>
    <t>INGRESOS COMPARATIVOS AL SEGUNDO TRIMESTRE DE LOS AÑOS FISCALES 2016 - 2017</t>
  </si>
  <si>
    <t>EJECUCION AL II TRIMESTRE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</si>
</sst>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#,##0.00000000"/>
    <numFmt numFmtId="209" formatCode="_ * #,##0_ ;_ * \-#,##0_ ;_ * &quot;-&quot;??_ ;_ @_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9" fontId="14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8" fillId="0" borderId="0" xfId="0" applyNumberFormat="1" applyFont="1" applyAlignment="1">
      <alignment/>
    </xf>
    <xf numFmtId="0" fontId="23" fillId="0" borderId="0" xfId="0" applyFont="1" applyAlignment="1">
      <alignment/>
    </xf>
    <xf numFmtId="37" fontId="7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14" xfId="0" applyNumberFormat="1" applyFont="1" applyFill="1" applyBorder="1" applyAlignment="1" applyProtection="1">
      <alignment vertical="center"/>
      <protection/>
    </xf>
    <xf numFmtId="192" fontId="14" fillId="33" borderId="15" xfId="0" applyNumberFormat="1" applyFont="1" applyFill="1" applyBorder="1" applyAlignment="1" applyProtection="1">
      <alignment vertical="center"/>
      <protection/>
    </xf>
    <xf numFmtId="192" fontId="14" fillId="33" borderId="16" xfId="0" applyNumberFormat="1" applyFont="1" applyFill="1" applyBorder="1" applyAlignment="1" applyProtection="1">
      <alignment vertical="center"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5" fillId="0" borderId="13" xfId="0" applyNumberFormat="1" applyFont="1" applyFill="1" applyBorder="1" applyAlignment="1" applyProtection="1">
      <alignment vertical="center"/>
      <protection/>
    </xf>
    <xf numFmtId="192" fontId="15" fillId="0" borderId="14" xfId="0" applyNumberFormat="1" applyFont="1" applyFill="1" applyBorder="1" applyAlignment="1" applyProtection="1">
      <alignment vertical="center"/>
      <protection/>
    </xf>
    <xf numFmtId="192" fontId="15" fillId="0" borderId="15" xfId="0" applyNumberFormat="1" applyFont="1" applyFill="1" applyBorder="1" applyAlignment="1" applyProtection="1">
      <alignment vertical="center"/>
      <protection/>
    </xf>
    <xf numFmtId="49" fontId="6" fillId="0" borderId="18" xfId="54" applyNumberFormat="1" applyFont="1" applyFill="1" applyBorder="1" applyAlignment="1">
      <alignment vertical="center"/>
    </xf>
    <xf numFmtId="195" fontId="6" fillId="0" borderId="0" xfId="54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95" fontId="7" fillId="0" borderId="0" xfId="54" applyNumberFormat="1" applyFont="1" applyFill="1" applyBorder="1" applyAlignment="1">
      <alignment vertical="center"/>
    </xf>
    <xf numFmtId="10" fontId="7" fillId="0" borderId="15" xfId="57" applyNumberFormat="1" applyFont="1" applyFill="1" applyBorder="1" applyAlignment="1">
      <alignment vertical="center"/>
    </xf>
    <xf numFmtId="10" fontId="7" fillId="33" borderId="19" xfId="57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vertical="center" wrapText="1"/>
      <protection/>
    </xf>
    <xf numFmtId="192" fontId="15" fillId="0" borderId="14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Alignment="1">
      <alignment/>
    </xf>
    <xf numFmtId="193" fontId="6" fillId="0" borderId="0" xfId="54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4" applyNumberFormat="1" applyFont="1" applyFill="1" applyBorder="1" applyAlignment="1">
      <alignment vertical="center" wrapText="1"/>
    </xf>
    <xf numFmtId="195" fontId="6" fillId="0" borderId="15" xfId="54" applyNumberFormat="1" applyFont="1" applyFill="1" applyBorder="1" applyAlignment="1">
      <alignment vertical="center" wrapText="1"/>
    </xf>
    <xf numFmtId="195" fontId="6" fillId="0" borderId="0" xfId="54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95" fontId="6" fillId="0" borderId="17" xfId="54" applyNumberFormat="1" applyFont="1" applyFill="1" applyBorder="1" applyAlignment="1">
      <alignment vertical="center"/>
    </xf>
    <xf numFmtId="195" fontId="7" fillId="0" borderId="17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6" fillId="0" borderId="16" xfId="54" applyNumberFormat="1" applyFont="1" applyFill="1" applyBorder="1" applyAlignment="1">
      <alignment vertical="center"/>
    </xf>
    <xf numFmtId="37" fontId="7" fillId="0" borderId="15" xfId="54" applyNumberFormat="1" applyFont="1" applyFill="1" applyBorder="1" applyAlignment="1">
      <alignment vertical="center"/>
    </xf>
    <xf numFmtId="3" fontId="7" fillId="33" borderId="22" xfId="54" applyNumberFormat="1" applyFont="1" applyFill="1" applyBorder="1" applyAlignment="1">
      <alignment vertical="center"/>
    </xf>
    <xf numFmtId="3" fontId="7" fillId="33" borderId="19" xfId="54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13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7" applyNumberFormat="1" applyFont="1" applyAlignment="1">
      <alignment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24" fillId="34" borderId="10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vertical="center"/>
    </xf>
    <xf numFmtId="192" fontId="14" fillId="33" borderId="24" xfId="0" applyNumberFormat="1" applyFont="1" applyFill="1" applyBorder="1" applyAlignment="1" applyProtection="1">
      <alignment vertical="center"/>
      <protection/>
    </xf>
    <xf numFmtId="192" fontId="14" fillId="33" borderId="25" xfId="0" applyNumberFormat="1" applyFont="1" applyFill="1" applyBorder="1" applyAlignment="1" applyProtection="1">
      <alignment vertical="center"/>
      <protection/>
    </xf>
    <xf numFmtId="192" fontId="14" fillId="33" borderId="26" xfId="0" applyNumberFormat="1" applyFont="1" applyFill="1" applyBorder="1" applyAlignment="1" applyProtection="1">
      <alignment vertical="center"/>
      <protection/>
    </xf>
    <xf numFmtId="192" fontId="14" fillId="33" borderId="27" xfId="0" applyNumberFormat="1" applyFont="1" applyFill="1" applyBorder="1" applyAlignment="1" applyProtection="1">
      <alignment vertical="center"/>
      <protection/>
    </xf>
    <xf numFmtId="192" fontId="14" fillId="33" borderId="28" xfId="0" applyNumberFormat="1" applyFont="1" applyFill="1" applyBorder="1" applyAlignment="1" applyProtection="1">
      <alignment vertical="center"/>
      <protection/>
    </xf>
    <xf numFmtId="0" fontId="14" fillId="33" borderId="24" xfId="0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7" fillId="33" borderId="29" xfId="54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justify" vertical="center" wrapText="1"/>
    </xf>
    <xf numFmtId="195" fontId="6" fillId="0" borderId="13" xfId="54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193" fontId="6" fillId="0" borderId="15" xfId="54" applyNumberFormat="1" applyFont="1" applyFill="1" applyBorder="1" applyAlignment="1">
      <alignment/>
    </xf>
    <xf numFmtId="41" fontId="6" fillId="0" borderId="13" xfId="54" applyNumberFormat="1" applyFont="1" applyFill="1" applyBorder="1" applyAlignment="1">
      <alignment vertical="center"/>
    </xf>
    <xf numFmtId="41" fontId="6" fillId="0" borderId="16" xfId="54" applyNumberFormat="1" applyFont="1" applyFill="1" applyBorder="1" applyAlignment="1">
      <alignment vertical="center"/>
    </xf>
    <xf numFmtId="41" fontId="6" fillId="0" borderId="16" xfId="54" applyNumberFormat="1" applyFont="1" applyFill="1" applyBorder="1" applyAlignment="1">
      <alignment horizontal="right" vertical="center"/>
    </xf>
    <xf numFmtId="41" fontId="7" fillId="0" borderId="13" xfId="54" applyNumberFormat="1" applyFont="1" applyFill="1" applyBorder="1" applyAlignment="1">
      <alignment vertical="center"/>
    </xf>
    <xf numFmtId="41" fontId="7" fillId="0" borderId="16" xfId="54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 applyProtection="1">
      <alignment horizontal="left" vertical="center" indent="1"/>
      <protection/>
    </xf>
    <xf numFmtId="0" fontId="9" fillId="0" borderId="0" xfId="0" applyFont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39" fontId="15" fillId="0" borderId="13" xfId="0" applyNumberFormat="1" applyFont="1" applyFill="1" applyBorder="1" applyAlignment="1" applyProtection="1">
      <alignment vertical="center"/>
      <protection/>
    </xf>
    <xf numFmtId="39" fontId="15" fillId="0" borderId="14" xfId="0" applyNumberFormat="1" applyFont="1" applyFill="1" applyBorder="1" applyAlignment="1" applyProtection="1">
      <alignment vertical="center"/>
      <protection/>
    </xf>
    <xf numFmtId="39" fontId="15" fillId="0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1" fontId="15" fillId="0" borderId="13" xfId="0" applyNumberFormat="1" applyFont="1" applyFill="1" applyBorder="1" applyAlignment="1" applyProtection="1">
      <alignment vertical="center"/>
      <protection/>
    </xf>
    <xf numFmtId="41" fontId="15" fillId="0" borderId="16" xfId="0" applyNumberFormat="1" applyFont="1" applyFill="1" applyBorder="1" applyAlignment="1" applyProtection="1">
      <alignment vertical="center" wrapText="1"/>
      <protection/>
    </xf>
    <xf numFmtId="41" fontId="15" fillId="0" borderId="14" xfId="0" applyNumberFormat="1" applyFont="1" applyFill="1" applyBorder="1" applyAlignment="1" applyProtection="1">
      <alignment vertical="center"/>
      <protection/>
    </xf>
    <xf numFmtId="41" fontId="15" fillId="0" borderId="14" xfId="0" applyNumberFormat="1" applyFont="1" applyFill="1" applyBorder="1" applyAlignment="1" applyProtection="1">
      <alignment vertical="center" wrapText="1"/>
      <protection/>
    </xf>
    <xf numFmtId="193" fontId="6" fillId="0" borderId="13" xfId="54" applyNumberFormat="1" applyFont="1" applyFill="1" applyBorder="1" applyAlignment="1">
      <alignment/>
    </xf>
    <xf numFmtId="193" fontId="6" fillId="0" borderId="16" xfId="54" applyNumberFormat="1" applyFont="1" applyFill="1" applyBorder="1" applyAlignment="1">
      <alignment/>
    </xf>
    <xf numFmtId="193" fontId="6" fillId="0" borderId="18" xfId="54" applyNumberFormat="1" applyFont="1" applyFill="1" applyBorder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1" fontId="6" fillId="0" borderId="13" xfId="54" applyNumberFormat="1" applyFont="1" applyFill="1" applyBorder="1" applyAlignment="1">
      <alignment vertical="center" wrapText="1"/>
    </xf>
    <xf numFmtId="41" fontId="24" fillId="33" borderId="10" xfId="0" applyNumberFormat="1" applyFont="1" applyFill="1" applyBorder="1" applyAlignment="1">
      <alignment horizontal="right" vertical="center"/>
    </xf>
    <xf numFmtId="41" fontId="26" fillId="0" borderId="0" xfId="0" applyNumberFormat="1" applyFont="1" applyAlignment="1">
      <alignment vertical="center"/>
    </xf>
    <xf numFmtId="41" fontId="2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23" xfId="0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7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37" fontId="6" fillId="0" borderId="34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92" fontId="1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14" fillId="35" borderId="20" xfId="0" applyFont="1" applyFill="1" applyBorder="1" applyAlignment="1" applyProtection="1">
      <alignment vertical="center" wrapText="1"/>
      <protection/>
    </xf>
    <xf numFmtId="192" fontId="14" fillId="35" borderId="13" xfId="0" applyNumberFormat="1" applyFont="1" applyFill="1" applyBorder="1" applyAlignment="1" applyProtection="1">
      <alignment vertical="center"/>
      <protection/>
    </xf>
    <xf numFmtId="192" fontId="14" fillId="35" borderId="14" xfId="0" applyNumberFormat="1" applyFont="1" applyFill="1" applyBorder="1" applyAlignment="1" applyProtection="1">
      <alignment vertical="center"/>
      <protection/>
    </xf>
    <xf numFmtId="192" fontId="14" fillId="35" borderId="15" xfId="0" applyNumberFormat="1" applyFont="1" applyFill="1" applyBorder="1" applyAlignment="1" applyProtection="1">
      <alignment vertical="center"/>
      <protection/>
    </xf>
    <xf numFmtId="197" fontId="26" fillId="0" borderId="0" xfId="0" applyNumberFormat="1" applyFont="1" applyAlignment="1">
      <alignment horizontal="center" vertical="center"/>
    </xf>
    <xf numFmtId="197" fontId="24" fillId="33" borderId="1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41" fontId="26" fillId="0" borderId="35" xfId="0" applyNumberFormat="1" applyFont="1" applyBorder="1" applyAlignment="1">
      <alignment vertical="center"/>
    </xf>
    <xf numFmtId="197" fontId="26" fillId="0" borderId="35" xfId="57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vertical="center"/>
    </xf>
    <xf numFmtId="41" fontId="26" fillId="0" borderId="36" xfId="0" applyNumberFormat="1" applyFont="1" applyBorder="1" applyAlignment="1">
      <alignment vertical="center"/>
    </xf>
    <xf numFmtId="197" fontId="26" fillId="0" borderId="36" xfId="57" applyNumberFormat="1" applyFont="1" applyBorder="1" applyAlignment="1">
      <alignment horizontal="center" vertical="center"/>
    </xf>
    <xf numFmtId="3" fontId="26" fillId="0" borderId="36" xfId="0" applyNumberFormat="1" applyFont="1" applyBorder="1" applyAlignment="1">
      <alignment vertical="center"/>
    </xf>
    <xf numFmtId="41" fontId="26" fillId="0" borderId="37" xfId="0" applyNumberFormat="1" applyFont="1" applyBorder="1" applyAlignment="1">
      <alignment vertical="center"/>
    </xf>
    <xf numFmtId="197" fontId="26" fillId="0" borderId="37" xfId="57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vertical="center"/>
    </xf>
    <xf numFmtId="41" fontId="26" fillId="0" borderId="38" xfId="0" applyNumberFormat="1" applyFont="1" applyBorder="1" applyAlignment="1">
      <alignment vertical="center"/>
    </xf>
    <xf numFmtId="197" fontId="26" fillId="0" borderId="38" xfId="57" applyNumberFormat="1" applyFont="1" applyBorder="1" applyAlignment="1">
      <alignment horizontal="center" vertical="center"/>
    </xf>
    <xf numFmtId="3" fontId="26" fillId="0" borderId="38" xfId="0" applyNumberFormat="1" applyFont="1" applyBorder="1" applyAlignment="1">
      <alignment vertical="center"/>
    </xf>
    <xf numFmtId="41" fontId="26" fillId="0" borderId="39" xfId="0" applyNumberFormat="1" applyFont="1" applyBorder="1" applyAlignment="1">
      <alignment vertical="center"/>
    </xf>
    <xf numFmtId="197" fontId="26" fillId="0" borderId="39" xfId="57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vertical="center"/>
    </xf>
    <xf numFmtId="41" fontId="26" fillId="0" borderId="16" xfId="0" applyNumberFormat="1" applyFont="1" applyBorder="1" applyAlignment="1">
      <alignment vertical="center"/>
    </xf>
    <xf numFmtId="197" fontId="26" fillId="0" borderId="16" xfId="57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vertical="center"/>
    </xf>
    <xf numFmtId="0" fontId="26" fillId="0" borderId="4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10" fontId="7" fillId="33" borderId="10" xfId="57" applyNumberFormat="1" applyFont="1" applyFill="1" applyBorder="1" applyAlignment="1">
      <alignment horizontal="center" vertical="center"/>
    </xf>
    <xf numFmtId="10" fontId="6" fillId="0" borderId="16" xfId="57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0" fontId="6" fillId="0" borderId="34" xfId="57" applyNumberFormat="1" applyFont="1" applyBorder="1" applyAlignment="1">
      <alignment horizontal="center" vertical="center"/>
    </xf>
    <xf numFmtId="10" fontId="7" fillId="33" borderId="10" xfId="57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5" fillId="0" borderId="15" xfId="0" applyNumberFormat="1" applyFont="1" applyFill="1" applyBorder="1" applyAlignment="1" applyProtection="1">
      <alignment horizontal="center" vertical="center"/>
      <protection/>
    </xf>
    <xf numFmtId="10" fontId="14" fillId="33" borderId="15" xfId="0" applyNumberFormat="1" applyFont="1" applyFill="1" applyBorder="1" applyAlignment="1" applyProtection="1">
      <alignment horizontal="center" vertical="center"/>
      <protection/>
    </xf>
    <xf numFmtId="10" fontId="14" fillId="35" borderId="15" xfId="0" applyNumberFormat="1" applyFont="1" applyFill="1" applyBorder="1" applyAlignment="1" applyProtection="1">
      <alignment horizontal="center" vertical="center"/>
      <protection/>
    </xf>
    <xf numFmtId="10" fontId="14" fillId="33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33" borderId="32" xfId="54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193" fontId="7" fillId="0" borderId="15" xfId="54" applyNumberFormat="1" applyFont="1" applyFill="1" applyBorder="1" applyAlignment="1">
      <alignment/>
    </xf>
    <xf numFmtId="37" fontId="7" fillId="0" borderId="17" xfId="54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37" fontId="7" fillId="0" borderId="0" xfId="0" applyNumberFormat="1" applyFont="1" applyAlignment="1">
      <alignment/>
    </xf>
    <xf numFmtId="0" fontId="29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93" fontId="7" fillId="0" borderId="0" xfId="54" applyNumberFormat="1" applyFont="1" applyFill="1" applyBorder="1" applyAlignment="1">
      <alignment/>
    </xf>
    <xf numFmtId="193" fontId="7" fillId="0" borderId="17" xfId="54" applyNumberFormat="1" applyFont="1" applyFill="1" applyBorder="1" applyAlignment="1">
      <alignment/>
    </xf>
    <xf numFmtId="196" fontId="7" fillId="0" borderId="15" xfId="54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4" fillId="33" borderId="42" xfId="0" applyNumberFormat="1" applyFont="1" applyFill="1" applyBorder="1" applyAlignment="1">
      <alignment horizontal="center" vertical="center"/>
    </xf>
    <xf numFmtId="37" fontId="4" fillId="33" borderId="4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0" fillId="33" borderId="10" xfId="0" applyFill="1" applyBorder="1" applyAlignment="1">
      <alignment vertical="center" wrapText="1"/>
    </xf>
    <xf numFmtId="37" fontId="4" fillId="33" borderId="4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4" fillId="33" borderId="10" xfId="0" applyFont="1" applyFill="1" applyBorder="1" applyAlignment="1">
      <alignment vertical="center"/>
    </xf>
    <xf numFmtId="3" fontId="24" fillId="34" borderId="45" xfId="0" applyNumberFormat="1" applyFont="1" applyFill="1" applyBorder="1" applyAlignment="1">
      <alignment horizontal="center" vertical="center"/>
    </xf>
    <xf numFmtId="3" fontId="24" fillId="34" borderId="46" xfId="0" applyNumberFormat="1" applyFont="1" applyFill="1" applyBorder="1" applyAlignment="1">
      <alignment horizontal="center" vertical="center"/>
    </xf>
    <xf numFmtId="3" fontId="24" fillId="34" borderId="21" xfId="0" applyNumberFormat="1" applyFont="1" applyFill="1" applyBorder="1" applyAlignment="1">
      <alignment horizontal="center" vertical="center"/>
    </xf>
    <xf numFmtId="3" fontId="24" fillId="34" borderId="33" xfId="0" applyNumberFormat="1" applyFont="1" applyFill="1" applyBorder="1" applyAlignment="1">
      <alignment horizontal="center"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3" fontId="24" fillId="33" borderId="10" xfId="0" applyNumberFormat="1" applyFont="1" applyFill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3" fontId="25" fillId="34" borderId="10" xfId="0" applyNumberFormat="1" applyFont="1" applyFill="1" applyBorder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justify" vertical="center" wrapText="1"/>
    </xf>
    <xf numFmtId="0" fontId="14" fillId="33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 applyProtection="1">
      <alignment horizontal="center" vertical="center"/>
      <protection/>
    </xf>
    <xf numFmtId="0" fontId="14" fillId="33" borderId="50" xfId="0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40"/>
  <sheetViews>
    <sheetView showGridLines="0" showZeros="0" tabSelected="1" zoomScale="115" zoomScaleNormal="115" zoomScalePageLayoutView="0" workbookViewId="0" topLeftCell="A1">
      <selection activeCell="C38" sqref="C38"/>
    </sheetView>
  </sheetViews>
  <sheetFormatPr defaultColWidth="11.421875" defaultRowHeight="12.75"/>
  <cols>
    <col min="1" max="1" width="1.1484375" style="125" customWidth="1"/>
    <col min="2" max="2" width="2.28125" style="125" customWidth="1"/>
    <col min="3" max="3" width="4.140625" style="125" customWidth="1"/>
    <col min="4" max="4" width="37.8515625" style="125" customWidth="1"/>
    <col min="5" max="5" width="0.85546875" style="149" customWidth="1"/>
    <col min="6" max="7" width="13.7109375" style="125" customWidth="1"/>
    <col min="8" max="8" width="10.7109375" style="125" customWidth="1"/>
    <col min="9" max="9" width="0.85546875" style="149" customWidth="1"/>
    <col min="10" max="11" width="13.7109375" style="125" customWidth="1"/>
    <col min="12" max="12" width="10.7109375" style="125" customWidth="1"/>
    <col min="13" max="13" width="0.85546875" style="149" customWidth="1"/>
    <col min="14" max="15" width="12.7109375" style="125" customWidth="1"/>
    <col min="16" max="16384" width="11.421875" style="125" customWidth="1"/>
  </cols>
  <sheetData>
    <row r="3" spans="3:15" ht="14.25">
      <c r="C3" s="216" t="s">
        <v>145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3:15" ht="12.75">
      <c r="C4" s="217" t="s">
        <v>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3:15" ht="12.75">
      <c r="C5" s="217" t="s">
        <v>119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7" spans="3:15" ht="12.75">
      <c r="C7" s="126" t="s">
        <v>22</v>
      </c>
      <c r="D7" s="106"/>
      <c r="E7" s="127"/>
      <c r="F7" s="128"/>
      <c r="G7" s="128"/>
      <c r="H7" s="106"/>
      <c r="I7" s="127"/>
      <c r="J7" s="128"/>
      <c r="K7" s="128"/>
      <c r="L7" s="106"/>
      <c r="M7" s="127"/>
      <c r="N7" s="106"/>
      <c r="O7" s="106"/>
    </row>
    <row r="8" spans="3:15" ht="12.75" customHeight="1">
      <c r="C8" s="208" t="s">
        <v>6</v>
      </c>
      <c r="D8" s="214"/>
      <c r="E8" s="20"/>
      <c r="F8" s="210" t="s">
        <v>110</v>
      </c>
      <c r="G8" s="215"/>
      <c r="H8" s="211"/>
      <c r="I8" s="130"/>
      <c r="J8" s="210" t="s">
        <v>121</v>
      </c>
      <c r="K8" s="215"/>
      <c r="L8" s="211"/>
      <c r="M8" s="130"/>
      <c r="N8" s="210" t="s">
        <v>10</v>
      </c>
      <c r="O8" s="211"/>
    </row>
    <row r="9" spans="3:15" ht="12.75" customHeight="1">
      <c r="C9" s="214"/>
      <c r="D9" s="214"/>
      <c r="E9" s="20"/>
      <c r="F9" s="208" t="s">
        <v>8</v>
      </c>
      <c r="G9" s="208" t="s">
        <v>144</v>
      </c>
      <c r="H9" s="208" t="s">
        <v>118</v>
      </c>
      <c r="I9" s="127"/>
      <c r="J9" s="208" t="s">
        <v>8</v>
      </c>
      <c r="K9" s="208" t="s">
        <v>144</v>
      </c>
      <c r="L9" s="208" t="s">
        <v>118</v>
      </c>
      <c r="M9" s="127"/>
      <c r="N9" s="208" t="s">
        <v>8</v>
      </c>
      <c r="O9" s="208" t="s">
        <v>144</v>
      </c>
    </row>
    <row r="10" spans="3:15" ht="12.75">
      <c r="C10" s="214"/>
      <c r="D10" s="214"/>
      <c r="E10" s="20"/>
      <c r="F10" s="209"/>
      <c r="G10" s="209"/>
      <c r="H10" s="209"/>
      <c r="I10" s="127"/>
      <c r="J10" s="209"/>
      <c r="K10" s="209"/>
      <c r="L10" s="209"/>
      <c r="M10" s="127"/>
      <c r="N10" s="209"/>
      <c r="O10" s="209"/>
    </row>
    <row r="11" spans="3:15" ht="12.75">
      <c r="C11" s="214"/>
      <c r="D11" s="214"/>
      <c r="E11" s="20"/>
      <c r="F11" s="209"/>
      <c r="G11" s="209"/>
      <c r="H11" s="209"/>
      <c r="I11" s="127"/>
      <c r="J11" s="209"/>
      <c r="K11" s="209"/>
      <c r="L11" s="209"/>
      <c r="M11" s="127"/>
      <c r="N11" s="209"/>
      <c r="O11" s="209"/>
    </row>
    <row r="12" spans="3:15" ht="4.5" customHeight="1">
      <c r="C12" s="131"/>
      <c r="D12" s="132"/>
      <c r="E12" s="129"/>
      <c r="F12" s="133"/>
      <c r="G12" s="133"/>
      <c r="H12" s="133"/>
      <c r="I12" s="127"/>
      <c r="J12" s="133"/>
      <c r="K12" s="133"/>
      <c r="L12" s="133"/>
      <c r="M12" s="127"/>
      <c r="N12" s="133"/>
      <c r="O12" s="133"/>
    </row>
    <row r="13" spans="3:15" ht="12.75">
      <c r="C13" s="206" t="s">
        <v>7</v>
      </c>
      <c r="D13" s="207"/>
      <c r="E13" s="22"/>
      <c r="F13" s="18">
        <f>SUM(F14:F18)</f>
        <v>1958463768</v>
      </c>
      <c r="G13" s="18">
        <f>SUM(G14:G18)</f>
        <v>849388834.5400021</v>
      </c>
      <c r="H13" s="181">
        <f aca="true" t="shared" si="0" ref="H13:H18">IF(F13=0," ",G13/F13)</f>
        <v>0.4337015820350893</v>
      </c>
      <c r="I13" s="127"/>
      <c r="J13" s="18">
        <f>SUM(J14:J18)</f>
        <v>5450900870</v>
      </c>
      <c r="K13" s="18">
        <f>SUM(K14:K18)</f>
        <v>1827091409.5500033</v>
      </c>
      <c r="L13" s="181">
        <f aca="true" t="shared" si="1" ref="L13:L18">IF(J13=0," ",K13/J13)</f>
        <v>0.3351907240885126</v>
      </c>
      <c r="M13" s="127"/>
      <c r="N13" s="18">
        <f aca="true" t="shared" si="2" ref="N13:O18">+J13-F13</f>
        <v>3492437102</v>
      </c>
      <c r="O13" s="18">
        <f t="shared" si="2"/>
        <v>977702575.0100012</v>
      </c>
    </row>
    <row r="14" spans="3:18" ht="12.75">
      <c r="C14" s="134" t="s">
        <v>32</v>
      </c>
      <c r="D14" s="132" t="s">
        <v>1</v>
      </c>
      <c r="E14" s="129"/>
      <c r="F14" s="135">
        <v>1710758254</v>
      </c>
      <c r="G14" s="135">
        <v>797720777.5400021</v>
      </c>
      <c r="H14" s="182">
        <f t="shared" si="0"/>
        <v>0.466296611853145</v>
      </c>
      <c r="I14" s="127"/>
      <c r="J14" s="135">
        <v>4725517917</v>
      </c>
      <c r="K14" s="135">
        <v>1674539668.4000032</v>
      </c>
      <c r="L14" s="182">
        <f t="shared" si="1"/>
        <v>0.35436108757007667</v>
      </c>
      <c r="M14" s="127"/>
      <c r="N14" s="135">
        <f t="shared" si="2"/>
        <v>3014759663</v>
      </c>
      <c r="O14" s="135">
        <f t="shared" si="2"/>
        <v>876818890.8600011</v>
      </c>
      <c r="Q14" s="136"/>
      <c r="R14" s="136"/>
    </row>
    <row r="15" spans="3:18" ht="12.75">
      <c r="C15" s="134" t="s">
        <v>33</v>
      </c>
      <c r="D15" s="132" t="s">
        <v>2</v>
      </c>
      <c r="E15" s="129"/>
      <c r="F15" s="135">
        <v>109769735</v>
      </c>
      <c r="G15" s="135">
        <v>51542044.5</v>
      </c>
      <c r="H15" s="182">
        <f t="shared" si="0"/>
        <v>0.4695469520810996</v>
      </c>
      <c r="I15" s="127"/>
      <c r="J15" s="135">
        <v>288844613</v>
      </c>
      <c r="K15" s="135">
        <v>70622568.43999995</v>
      </c>
      <c r="L15" s="182">
        <f t="shared" si="1"/>
        <v>0.24450020966809569</v>
      </c>
      <c r="M15" s="127"/>
      <c r="N15" s="135">
        <f t="shared" si="2"/>
        <v>179074878</v>
      </c>
      <c r="O15" s="135">
        <f t="shared" si="2"/>
        <v>19080523.939999953</v>
      </c>
      <c r="Q15" s="136"/>
      <c r="R15" s="136"/>
    </row>
    <row r="16" spans="3:18" ht="12.75">
      <c r="C16" s="134" t="s">
        <v>34</v>
      </c>
      <c r="D16" s="132" t="s">
        <v>31</v>
      </c>
      <c r="E16" s="129"/>
      <c r="F16" s="135">
        <v>136266933</v>
      </c>
      <c r="G16" s="135">
        <v>0</v>
      </c>
      <c r="H16" s="182">
        <f t="shared" si="0"/>
        <v>0</v>
      </c>
      <c r="I16" s="127"/>
      <c r="J16" s="135">
        <v>3166225</v>
      </c>
      <c r="K16" s="135">
        <v>1964186.12</v>
      </c>
      <c r="L16" s="182">
        <f t="shared" si="1"/>
        <v>0.6203558243649773</v>
      </c>
      <c r="M16" s="127"/>
      <c r="N16" s="135">
        <f t="shared" si="2"/>
        <v>-133100708</v>
      </c>
      <c r="O16" s="135">
        <f t="shared" si="2"/>
        <v>1964186.12</v>
      </c>
      <c r="Q16" s="136"/>
      <c r="R16" s="136"/>
    </row>
    <row r="17" spans="3:18" ht="12.75">
      <c r="C17" s="134" t="s">
        <v>35</v>
      </c>
      <c r="D17" s="132" t="s">
        <v>3</v>
      </c>
      <c r="E17" s="129"/>
      <c r="F17" s="135">
        <v>1668846</v>
      </c>
      <c r="G17" s="135">
        <v>126012.5</v>
      </c>
      <c r="H17" s="182">
        <f t="shared" si="0"/>
        <v>0.07550876473922699</v>
      </c>
      <c r="I17" s="127"/>
      <c r="J17" s="135">
        <v>433372115</v>
      </c>
      <c r="K17" s="135">
        <v>79964986.59000008</v>
      </c>
      <c r="L17" s="182">
        <f t="shared" si="1"/>
        <v>0.18451807078081173</v>
      </c>
      <c r="M17" s="127"/>
      <c r="N17" s="135">
        <f t="shared" si="2"/>
        <v>431703269</v>
      </c>
      <c r="O17" s="135">
        <f t="shared" si="2"/>
        <v>79838974.09000008</v>
      </c>
      <c r="Q17" s="136"/>
      <c r="R17" s="136"/>
    </row>
    <row r="18" spans="3:18" ht="12.75">
      <c r="C18" s="134" t="s">
        <v>99</v>
      </c>
      <c r="D18" s="132" t="s">
        <v>100</v>
      </c>
      <c r="E18" s="129"/>
      <c r="F18" s="135">
        <v>0</v>
      </c>
      <c r="G18" s="135">
        <v>0</v>
      </c>
      <c r="H18" s="182" t="str">
        <f t="shared" si="0"/>
        <v> </v>
      </c>
      <c r="I18" s="127"/>
      <c r="J18" s="135">
        <v>0</v>
      </c>
      <c r="K18" s="135">
        <v>0</v>
      </c>
      <c r="L18" s="182" t="str">
        <f t="shared" si="1"/>
        <v> </v>
      </c>
      <c r="M18" s="127"/>
      <c r="N18" s="135">
        <f t="shared" si="2"/>
        <v>0</v>
      </c>
      <c r="O18" s="135">
        <f t="shared" si="2"/>
        <v>0</v>
      </c>
      <c r="Q18" s="136"/>
      <c r="R18" s="136"/>
    </row>
    <row r="19" spans="3:15" ht="5.25" customHeight="1">
      <c r="C19" s="131"/>
      <c r="D19" s="132"/>
      <c r="E19" s="129"/>
      <c r="F19" s="135"/>
      <c r="G19" s="135"/>
      <c r="H19" s="183"/>
      <c r="I19" s="127"/>
      <c r="J19" s="135"/>
      <c r="K19" s="135"/>
      <c r="L19" s="183"/>
      <c r="M19" s="127"/>
      <c r="N19" s="135"/>
      <c r="O19" s="135"/>
    </row>
    <row r="20" spans="3:15" ht="12.75">
      <c r="C20" s="206" t="s">
        <v>5</v>
      </c>
      <c r="D20" s="207"/>
      <c r="E20" s="22"/>
      <c r="F20" s="18">
        <f>+F21+F27</f>
        <v>1958463768</v>
      </c>
      <c r="G20" s="18">
        <f>+G21+G27</f>
        <v>849388834.5399992</v>
      </c>
      <c r="H20" s="181">
        <f>IF(F20=0," ",G20/F20)</f>
        <v>0.43370158203508785</v>
      </c>
      <c r="I20" s="127"/>
      <c r="J20" s="18">
        <f>+J21+J27</f>
        <v>5450900870</v>
      </c>
      <c r="K20" s="18">
        <f>+K21+K27</f>
        <v>1827091409.5499961</v>
      </c>
      <c r="L20" s="181">
        <f aca="true" t="shared" si="3" ref="L20:L32">IF(J20=0," ",K20/J20)</f>
        <v>0.3351907240885113</v>
      </c>
      <c r="M20" s="127"/>
      <c r="N20" s="18">
        <f aca="true" t="shared" si="4" ref="N20:N32">+J20-F20</f>
        <v>3492437102</v>
      </c>
      <c r="O20" s="18">
        <f aca="true" t="shared" si="5" ref="O20:O32">+K20-G20</f>
        <v>977702575.0099969</v>
      </c>
    </row>
    <row r="21" spans="3:15" ht="12.75">
      <c r="C21" s="134"/>
      <c r="D21" s="123" t="s">
        <v>112</v>
      </c>
      <c r="E21" s="22"/>
      <c r="F21" s="18">
        <f>+SUM(F22:F26)</f>
        <v>1647331345</v>
      </c>
      <c r="G21" s="18">
        <f>+SUM(G22:G26)</f>
        <v>793317583.0399992</v>
      </c>
      <c r="H21" s="181">
        <f aca="true" t="shared" si="6" ref="H21:H32">IF(F21=0," ",G21/F21)</f>
        <v>0.4815774224462409</v>
      </c>
      <c r="I21" s="127"/>
      <c r="J21" s="18">
        <f>+SUM(J22:J26)</f>
        <v>5049572200</v>
      </c>
      <c r="K21" s="18">
        <f>+SUM(K22:K26)</f>
        <v>1777422156.599996</v>
      </c>
      <c r="L21" s="181">
        <f t="shared" si="3"/>
        <v>0.3519946019585572</v>
      </c>
      <c r="M21" s="127"/>
      <c r="N21" s="18">
        <f t="shared" si="4"/>
        <v>3402240855</v>
      </c>
      <c r="O21" s="18">
        <f t="shared" si="5"/>
        <v>984104573.5599968</v>
      </c>
    </row>
    <row r="22" spans="3:21" ht="12.75">
      <c r="C22" s="134"/>
      <c r="D22" s="132" t="s">
        <v>113</v>
      </c>
      <c r="E22" s="129"/>
      <c r="F22" s="135">
        <v>579712449</v>
      </c>
      <c r="G22" s="135">
        <v>282249758.46</v>
      </c>
      <c r="H22" s="182">
        <f t="shared" si="6"/>
        <v>0.486878898231147</v>
      </c>
      <c r="I22" s="127"/>
      <c r="J22" s="135">
        <v>2078177963</v>
      </c>
      <c r="K22" s="135">
        <v>766134975.4999987</v>
      </c>
      <c r="L22" s="182">
        <f t="shared" si="3"/>
        <v>0.3686570587987698</v>
      </c>
      <c r="M22" s="127"/>
      <c r="N22" s="135">
        <f t="shared" si="4"/>
        <v>1498465514</v>
      </c>
      <c r="O22" s="135">
        <f t="shared" si="5"/>
        <v>483885217.0399987</v>
      </c>
      <c r="Q22" s="136"/>
      <c r="R22" s="136"/>
      <c r="U22" s="136"/>
    </row>
    <row r="23" spans="3:21" ht="12.75">
      <c r="C23" s="134"/>
      <c r="D23" s="132" t="s">
        <v>114</v>
      </c>
      <c r="E23" s="129"/>
      <c r="F23" s="135">
        <v>52785755</v>
      </c>
      <c r="G23" s="135">
        <v>21098032.630000003</v>
      </c>
      <c r="H23" s="182">
        <f t="shared" si="6"/>
        <v>0.3996917848385422</v>
      </c>
      <c r="I23" s="127"/>
      <c r="J23" s="135">
        <v>161805596</v>
      </c>
      <c r="K23" s="135">
        <v>63022064.08</v>
      </c>
      <c r="L23" s="182">
        <f t="shared" si="3"/>
        <v>0.38949248751569754</v>
      </c>
      <c r="M23" s="127"/>
      <c r="N23" s="135">
        <f t="shared" si="4"/>
        <v>109019841</v>
      </c>
      <c r="O23" s="135">
        <f t="shared" si="5"/>
        <v>41924031.449999996</v>
      </c>
      <c r="Q23" s="136"/>
      <c r="R23" s="136"/>
      <c r="U23" s="136"/>
    </row>
    <row r="24" spans="3:21" ht="12.75">
      <c r="C24" s="134"/>
      <c r="D24" s="132" t="s">
        <v>115</v>
      </c>
      <c r="E24" s="129"/>
      <c r="F24" s="135">
        <v>898335999</v>
      </c>
      <c r="G24" s="135">
        <v>412847553.3099993</v>
      </c>
      <c r="H24" s="182">
        <f t="shared" si="6"/>
        <v>0.4595691965696226</v>
      </c>
      <c r="I24" s="127"/>
      <c r="J24" s="135">
        <v>2513295635</v>
      </c>
      <c r="K24" s="135">
        <v>771591700.3099972</v>
      </c>
      <c r="L24" s="182">
        <f t="shared" si="3"/>
        <v>0.3070039551117102</v>
      </c>
      <c r="M24" s="127"/>
      <c r="N24" s="135">
        <f t="shared" si="4"/>
        <v>1614959636</v>
      </c>
      <c r="O24" s="135">
        <f t="shared" si="5"/>
        <v>358744146.9999979</v>
      </c>
      <c r="Q24" s="136"/>
      <c r="R24" s="136"/>
      <c r="U24" s="136"/>
    </row>
    <row r="25" spans="3:21" ht="12.75">
      <c r="C25" s="134"/>
      <c r="D25" s="132" t="s">
        <v>111</v>
      </c>
      <c r="E25" s="129"/>
      <c r="F25" s="135">
        <v>48484945</v>
      </c>
      <c r="G25" s="135">
        <v>43145307</v>
      </c>
      <c r="H25" s="182">
        <f t="shared" si="6"/>
        <v>0.889870185477162</v>
      </c>
      <c r="I25" s="127"/>
      <c r="J25" s="135">
        <v>198939051</v>
      </c>
      <c r="K25" s="135">
        <v>122228561.02</v>
      </c>
      <c r="L25" s="182">
        <f t="shared" si="3"/>
        <v>0.6144020513096747</v>
      </c>
      <c r="M25" s="127"/>
      <c r="N25" s="135">
        <f t="shared" si="4"/>
        <v>150454106</v>
      </c>
      <c r="O25" s="135">
        <f t="shared" si="5"/>
        <v>79083254.02</v>
      </c>
      <c r="Q25" s="136"/>
      <c r="R25" s="136"/>
      <c r="U25" s="136"/>
    </row>
    <row r="26" spans="3:21" ht="12.75">
      <c r="C26" s="134"/>
      <c r="D26" s="137" t="s">
        <v>122</v>
      </c>
      <c r="E26" s="129"/>
      <c r="F26" s="135">
        <v>68012197</v>
      </c>
      <c r="G26" s="135">
        <v>33976931.64</v>
      </c>
      <c r="H26" s="182">
        <f t="shared" si="6"/>
        <v>0.4995711525096006</v>
      </c>
      <c r="I26" s="127"/>
      <c r="J26" s="135">
        <v>97353955</v>
      </c>
      <c r="K26" s="135">
        <v>54444855.69</v>
      </c>
      <c r="L26" s="182">
        <f t="shared" si="3"/>
        <v>0.5592464701613817</v>
      </c>
      <c r="M26" s="127"/>
      <c r="N26" s="135">
        <f t="shared" si="4"/>
        <v>29341758</v>
      </c>
      <c r="O26" s="135">
        <f t="shared" si="5"/>
        <v>20467924.049999997</v>
      </c>
      <c r="Q26" s="136"/>
      <c r="R26" s="136"/>
      <c r="U26" s="136"/>
    </row>
    <row r="27" spans="3:15" ht="12.75">
      <c r="C27" s="134"/>
      <c r="D27" s="123" t="s">
        <v>116</v>
      </c>
      <c r="E27" s="22"/>
      <c r="F27" s="18">
        <f>+F28+F29+F30</f>
        <v>311132423</v>
      </c>
      <c r="G27" s="18">
        <f>+G28+G29+G30</f>
        <v>56071251.49999999</v>
      </c>
      <c r="H27" s="181">
        <f t="shared" si="6"/>
        <v>0.1802166773856288</v>
      </c>
      <c r="I27" s="127"/>
      <c r="J27" s="18">
        <f>+J28+J29+J30</f>
        <v>401328670</v>
      </c>
      <c r="K27" s="18">
        <f>+K28+K29+K30</f>
        <v>49669252.949999996</v>
      </c>
      <c r="L27" s="181">
        <f t="shared" si="3"/>
        <v>0.12376203511700272</v>
      </c>
      <c r="M27" s="127"/>
      <c r="N27" s="18">
        <f t="shared" si="4"/>
        <v>90196247</v>
      </c>
      <c r="O27" s="18">
        <f t="shared" si="5"/>
        <v>-6401998.549999997</v>
      </c>
    </row>
    <row r="28" spans="3:21" ht="12.75">
      <c r="C28" s="138"/>
      <c r="D28" s="139" t="s">
        <v>123</v>
      </c>
      <c r="E28" s="129"/>
      <c r="F28" s="135">
        <v>152884036</v>
      </c>
      <c r="G28" s="135">
        <v>7159688</v>
      </c>
      <c r="H28" s="182">
        <f t="shared" si="6"/>
        <v>0.04683084112195991</v>
      </c>
      <c r="I28" s="127"/>
      <c r="J28" s="135">
        <v>219167</v>
      </c>
      <c r="K28" s="135">
        <v>126000</v>
      </c>
      <c r="L28" s="182">
        <f t="shared" si="3"/>
        <v>0.574904068586968</v>
      </c>
      <c r="M28" s="127"/>
      <c r="N28" s="135">
        <f t="shared" si="4"/>
        <v>-152664869</v>
      </c>
      <c r="O28" s="135">
        <f t="shared" si="5"/>
        <v>-7033688</v>
      </c>
      <c r="Q28" s="136"/>
      <c r="R28" s="136"/>
      <c r="U28" s="136"/>
    </row>
    <row r="29" spans="3:21" ht="12.75">
      <c r="C29" s="138"/>
      <c r="D29" s="139" t="s">
        <v>124</v>
      </c>
      <c r="E29" s="129"/>
      <c r="F29" s="135">
        <v>0</v>
      </c>
      <c r="G29" s="135">
        <v>0</v>
      </c>
      <c r="H29" s="182" t="str">
        <f t="shared" si="6"/>
        <v> </v>
      </c>
      <c r="I29" s="127"/>
      <c r="J29" s="135">
        <v>0</v>
      </c>
      <c r="K29" s="135">
        <v>0</v>
      </c>
      <c r="L29" s="182" t="str">
        <f t="shared" si="3"/>
        <v> </v>
      </c>
      <c r="M29" s="127"/>
      <c r="N29" s="135">
        <f t="shared" si="4"/>
        <v>0</v>
      </c>
      <c r="O29" s="135">
        <f t="shared" si="5"/>
        <v>0</v>
      </c>
      <c r="Q29" s="136"/>
      <c r="R29" s="136"/>
      <c r="U29" s="136"/>
    </row>
    <row r="30" spans="3:21" s="140" customFormat="1" ht="12.75" customHeight="1">
      <c r="C30" s="134"/>
      <c r="D30" s="124" t="s">
        <v>117</v>
      </c>
      <c r="E30" s="141"/>
      <c r="F30" s="142">
        <f>SUM(F31:F32)</f>
        <v>158248387</v>
      </c>
      <c r="G30" s="142">
        <f>SUM(G31:G32)</f>
        <v>48911563.49999999</v>
      </c>
      <c r="H30" s="181">
        <f t="shared" si="6"/>
        <v>0.30908096080625447</v>
      </c>
      <c r="I30" s="143"/>
      <c r="J30" s="144">
        <f>+J31+J32</f>
        <v>401109503</v>
      </c>
      <c r="K30" s="144">
        <f>+K31+K32</f>
        <v>49543252.949999996</v>
      </c>
      <c r="L30" s="185">
        <f t="shared" si="3"/>
        <v>0.12351553024661197</v>
      </c>
      <c r="M30" s="143"/>
      <c r="N30" s="18">
        <f t="shared" si="4"/>
        <v>242861116</v>
      </c>
      <c r="O30" s="18">
        <f t="shared" si="5"/>
        <v>631689.450000003</v>
      </c>
      <c r="Q30" s="145"/>
      <c r="R30" s="145"/>
      <c r="U30" s="145"/>
    </row>
    <row r="31" spans="3:21" ht="12.75" customHeight="1">
      <c r="C31" s="40"/>
      <c r="D31" s="137" t="s">
        <v>55</v>
      </c>
      <c r="E31" s="129"/>
      <c r="F31" s="135">
        <v>124456075</v>
      </c>
      <c r="G31" s="135">
        <v>36695439.25999999</v>
      </c>
      <c r="H31" s="182">
        <f t="shared" si="6"/>
        <v>0.29484650918004596</v>
      </c>
      <c r="I31" s="127"/>
      <c r="J31" s="146">
        <v>277675736</v>
      </c>
      <c r="K31" s="135">
        <v>39445192.739999995</v>
      </c>
      <c r="L31" s="182">
        <f t="shared" si="3"/>
        <v>0.14205487778017448</v>
      </c>
      <c r="M31" s="127"/>
      <c r="N31" s="135">
        <f t="shared" si="4"/>
        <v>153219661</v>
      </c>
      <c r="O31" s="135">
        <f t="shared" si="5"/>
        <v>2749753.480000004</v>
      </c>
      <c r="Q31" s="136"/>
      <c r="R31" s="136"/>
      <c r="U31" s="136"/>
    </row>
    <row r="32" spans="2:21" ht="12.75">
      <c r="B32" s="106"/>
      <c r="C32" s="41"/>
      <c r="D32" s="147" t="s">
        <v>56</v>
      </c>
      <c r="E32" s="129"/>
      <c r="F32" s="148">
        <v>33792312</v>
      </c>
      <c r="G32" s="148">
        <v>12216124.24</v>
      </c>
      <c r="H32" s="184">
        <f t="shared" si="6"/>
        <v>0.36150602065937365</v>
      </c>
      <c r="I32" s="127"/>
      <c r="J32" s="148">
        <v>123433767</v>
      </c>
      <c r="K32" s="148">
        <v>10098060.209999999</v>
      </c>
      <c r="L32" s="184">
        <f t="shared" si="3"/>
        <v>0.08180954414200127</v>
      </c>
      <c r="M32" s="127"/>
      <c r="N32" s="148">
        <f t="shared" si="4"/>
        <v>89641455</v>
      </c>
      <c r="O32" s="148">
        <f t="shared" si="5"/>
        <v>-2118064.030000001</v>
      </c>
      <c r="Q32" s="136"/>
      <c r="R32" s="136"/>
      <c r="U32" s="136"/>
    </row>
    <row r="33" spans="2:15" ht="12.75">
      <c r="B33" s="106"/>
      <c r="C33" s="108" t="s">
        <v>148</v>
      </c>
      <c r="D33" s="106"/>
      <c r="E33" s="129"/>
      <c r="F33" s="106"/>
      <c r="G33" s="106"/>
      <c r="H33" s="106"/>
      <c r="I33" s="127"/>
      <c r="J33" s="106"/>
      <c r="K33" s="106"/>
      <c r="L33" s="106"/>
      <c r="M33" s="127"/>
      <c r="N33" s="106"/>
      <c r="O33" s="106"/>
    </row>
    <row r="34" spans="2:15" ht="12.75">
      <c r="B34" s="106"/>
      <c r="C34" s="107" t="s">
        <v>150</v>
      </c>
      <c r="D34" s="106"/>
      <c r="E34" s="129"/>
      <c r="F34" s="106"/>
      <c r="G34" s="106"/>
      <c r="H34" s="106"/>
      <c r="I34" s="127"/>
      <c r="J34" s="106"/>
      <c r="K34" s="106"/>
      <c r="L34" s="106"/>
      <c r="M34" s="127"/>
      <c r="N34" s="106"/>
      <c r="O34" s="106"/>
    </row>
    <row r="35" spans="2:15" ht="25.5" customHeight="1">
      <c r="B35" s="106"/>
      <c r="C35" s="212" t="s">
        <v>125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2:15" ht="26.25" customHeight="1">
      <c r="B36" s="106"/>
      <c r="C36" s="212" t="s">
        <v>126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2:15" ht="12.75">
      <c r="B37" s="106"/>
      <c r="D37" s="106"/>
      <c r="E37" s="127"/>
      <c r="F37" s="106"/>
      <c r="G37" s="106"/>
      <c r="H37" s="106"/>
      <c r="I37" s="127"/>
      <c r="J37" s="106"/>
      <c r="K37" s="106"/>
      <c r="L37" s="106"/>
      <c r="M37" s="127"/>
      <c r="N37" s="106"/>
      <c r="O37" s="106"/>
    </row>
    <row r="38" spans="2:15" ht="12.75">
      <c r="B38" s="106"/>
      <c r="C38" s="108"/>
      <c r="D38" s="106"/>
      <c r="E38" s="127"/>
      <c r="F38" s="106"/>
      <c r="G38" s="106"/>
      <c r="H38" s="106"/>
      <c r="I38" s="127"/>
      <c r="J38" s="106"/>
      <c r="K38" s="106"/>
      <c r="L38" s="106"/>
      <c r="M38" s="127"/>
      <c r="N38" s="106"/>
      <c r="O38" s="106"/>
    </row>
    <row r="40" spans="6:7" ht="12.75">
      <c r="F40" s="136"/>
      <c r="G40" s="136"/>
    </row>
  </sheetData>
  <sheetProtection/>
  <mergeCells count="19">
    <mergeCell ref="F8:H8"/>
    <mergeCell ref="J8:L8"/>
    <mergeCell ref="C20:D20"/>
    <mergeCell ref="C3:O3"/>
    <mergeCell ref="C4:O4"/>
    <mergeCell ref="C5:O5"/>
    <mergeCell ref="J9:J11"/>
    <mergeCell ref="K9:K11"/>
    <mergeCell ref="L9:L11"/>
    <mergeCell ref="C13:D13"/>
    <mergeCell ref="H9:H11"/>
    <mergeCell ref="F9:F11"/>
    <mergeCell ref="N8:O8"/>
    <mergeCell ref="C36:O36"/>
    <mergeCell ref="C35:O35"/>
    <mergeCell ref="O9:O11"/>
    <mergeCell ref="C8:D11"/>
    <mergeCell ref="N9:N11"/>
    <mergeCell ref="G9:G11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9:D20 C19:C20" numberStoredAsText="1"/>
    <ignoredError sqref="J13:K13 I32 I13:I15 I30 H19 L19 I26 I19:I20 I22:I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PageLayoutView="0" workbookViewId="0" topLeftCell="A1">
      <selection activeCell="B43" sqref="B43"/>
    </sheetView>
  </sheetViews>
  <sheetFormatPr defaultColWidth="11.421875" defaultRowHeight="12.75"/>
  <cols>
    <col min="1" max="1" width="2.8515625" style="68" customWidth="1"/>
    <col min="2" max="2" width="8.7109375" style="68" bestFit="1" customWidth="1"/>
    <col min="3" max="3" width="60.8515625" style="68" customWidth="1"/>
    <col min="4" max="4" width="0.85546875" style="73" customWidth="1"/>
    <col min="5" max="6" width="13.7109375" style="68" customWidth="1"/>
    <col min="7" max="7" width="11.421875" style="68" customWidth="1"/>
    <col min="8" max="8" width="0.85546875" style="68" customWidth="1"/>
    <col min="9" max="10" width="13.7109375" style="68" customWidth="1"/>
    <col min="11" max="11" width="11.421875" style="68" customWidth="1"/>
    <col min="12" max="12" width="0.85546875" style="68" customWidth="1"/>
    <col min="13" max="14" width="13.7109375" style="68" customWidth="1"/>
    <col min="15" max="16384" width="11.421875" style="68" customWidth="1"/>
  </cols>
  <sheetData>
    <row r="2" spans="2:15" ht="14.25">
      <c r="B2" s="234" t="s">
        <v>149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8"/>
    </row>
    <row r="3" spans="2:15" ht="12.75">
      <c r="B3" s="217" t="s">
        <v>98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51"/>
    </row>
    <row r="4" spans="2:15" ht="12.75">
      <c r="B4" s="217" t="s">
        <v>119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151"/>
    </row>
    <row r="5" spans="2:15" ht="12.75">
      <c r="B5" s="125"/>
      <c r="C5" s="125"/>
      <c r="D5" s="125"/>
      <c r="E5" s="149"/>
      <c r="F5" s="125"/>
      <c r="G5" s="125"/>
      <c r="H5" s="125"/>
      <c r="I5" s="149"/>
      <c r="J5" s="125"/>
      <c r="K5" s="125"/>
      <c r="L5" s="125"/>
      <c r="M5" s="149"/>
      <c r="N5" s="125"/>
      <c r="O5" s="125"/>
    </row>
    <row r="6" spans="2:15" ht="12.75">
      <c r="B6" s="233" t="s">
        <v>22</v>
      </c>
      <c r="C6" s="233"/>
      <c r="D6" s="126"/>
      <c r="E6" s="129"/>
      <c r="F6" s="106"/>
      <c r="G6" s="106"/>
      <c r="H6" s="106"/>
      <c r="I6" s="127"/>
      <c r="J6" s="106"/>
      <c r="K6" s="106"/>
      <c r="L6" s="106"/>
      <c r="M6" s="127"/>
      <c r="N6" s="106"/>
      <c r="O6" s="106"/>
    </row>
    <row r="8" spans="2:14" ht="12.75">
      <c r="B8" s="221" t="s">
        <v>64</v>
      </c>
      <c r="C8" s="222"/>
      <c r="D8" s="67"/>
      <c r="E8" s="231" t="s">
        <v>110</v>
      </c>
      <c r="F8" s="231"/>
      <c r="G8" s="231"/>
      <c r="I8" s="231" t="s">
        <v>121</v>
      </c>
      <c r="J8" s="231"/>
      <c r="K8" s="231"/>
      <c r="M8" s="231" t="s">
        <v>10</v>
      </c>
      <c r="N8" s="231"/>
    </row>
    <row r="9" spans="2:14" s="71" customFormat="1" ht="38.25">
      <c r="B9" s="223"/>
      <c r="C9" s="224"/>
      <c r="D9" s="67"/>
      <c r="E9" s="69" t="s">
        <v>65</v>
      </c>
      <c r="F9" s="70" t="s">
        <v>146</v>
      </c>
      <c r="G9" s="69" t="s">
        <v>0</v>
      </c>
      <c r="I9" s="69" t="s">
        <v>65</v>
      </c>
      <c r="J9" s="70" t="s">
        <v>146</v>
      </c>
      <c r="K9" s="69" t="s">
        <v>0</v>
      </c>
      <c r="M9" s="70" t="s">
        <v>66</v>
      </c>
      <c r="N9" s="70" t="s">
        <v>146</v>
      </c>
    </row>
    <row r="10" spans="2:14" s="71" customFormat="1" ht="12.75">
      <c r="B10" s="220" t="s">
        <v>67</v>
      </c>
      <c r="C10" s="220"/>
      <c r="D10" s="159"/>
      <c r="E10" s="120">
        <f>SUM(E11:E13)</f>
        <v>579712449</v>
      </c>
      <c r="F10" s="120">
        <f>SUM(F11:F13)</f>
        <v>282249758.45999974</v>
      </c>
      <c r="G10" s="157">
        <f aca="true" t="shared" si="0" ref="G10:G40">IF(E10=0," ",F10/E10)</f>
        <v>0.48687889823114655</v>
      </c>
      <c r="I10" s="120">
        <f>SUM(I11:I13)</f>
        <v>2078177963</v>
      </c>
      <c r="J10" s="120">
        <f>SUM(J11:J13)</f>
        <v>766134975.4999988</v>
      </c>
      <c r="K10" s="157">
        <f aca="true" t="shared" si="1" ref="K10:K41">IF(I10=0," ",J10/I10)</f>
        <v>0.36865705879876987</v>
      </c>
      <c r="M10" s="72">
        <f aca="true" t="shared" si="2" ref="M10:M37">+E10-I10</f>
        <v>-1498465514</v>
      </c>
      <c r="N10" s="72">
        <f aca="true" t="shared" si="3" ref="N10:N36">+F10-J10</f>
        <v>-483885217.03999907</v>
      </c>
    </row>
    <row r="11" spans="2:14" ht="12.75">
      <c r="B11" s="227" t="s">
        <v>68</v>
      </c>
      <c r="C11" s="227"/>
      <c r="D11" s="160"/>
      <c r="E11" s="161">
        <v>551677497</v>
      </c>
      <c r="F11" s="161">
        <v>268502440.24999976</v>
      </c>
      <c r="G11" s="162">
        <f t="shared" si="0"/>
        <v>0.4867018171125435</v>
      </c>
      <c r="I11" s="161">
        <v>1981777151</v>
      </c>
      <c r="J11" s="161">
        <v>731136468.8599987</v>
      </c>
      <c r="K11" s="162">
        <f t="shared" si="1"/>
        <v>0.36892970962505495</v>
      </c>
      <c r="M11" s="163">
        <f t="shared" si="2"/>
        <v>-1430099654</v>
      </c>
      <c r="N11" s="163">
        <f t="shared" si="3"/>
        <v>-462634028.60999894</v>
      </c>
    </row>
    <row r="12" spans="2:14" ht="12.75">
      <c r="B12" s="219" t="s">
        <v>69</v>
      </c>
      <c r="C12" s="219"/>
      <c r="D12" s="160"/>
      <c r="E12" s="164">
        <v>0</v>
      </c>
      <c r="F12" s="164">
        <v>0</v>
      </c>
      <c r="G12" s="165" t="str">
        <f t="shared" si="0"/>
        <v> </v>
      </c>
      <c r="I12" s="164">
        <v>13977532</v>
      </c>
      <c r="J12" s="164">
        <v>604550.08</v>
      </c>
      <c r="K12" s="165">
        <f t="shared" si="1"/>
        <v>0.04325156114827711</v>
      </c>
      <c r="M12" s="166">
        <f t="shared" si="2"/>
        <v>-13977532</v>
      </c>
      <c r="N12" s="166">
        <f t="shared" si="3"/>
        <v>-604550.08</v>
      </c>
    </row>
    <row r="13" spans="2:14" ht="12.75">
      <c r="B13" s="225" t="s">
        <v>70</v>
      </c>
      <c r="C13" s="225"/>
      <c r="D13" s="160"/>
      <c r="E13" s="167">
        <v>28034952</v>
      </c>
      <c r="F13" s="167">
        <v>13747318.210000003</v>
      </c>
      <c r="G13" s="168">
        <f t="shared" si="0"/>
        <v>0.4903635365596489</v>
      </c>
      <c r="I13" s="167">
        <v>82423280</v>
      </c>
      <c r="J13" s="167">
        <v>34393956.56000002</v>
      </c>
      <c r="K13" s="168">
        <f t="shared" si="1"/>
        <v>0.4172844924395149</v>
      </c>
      <c r="M13" s="169">
        <f t="shared" si="2"/>
        <v>-54388328</v>
      </c>
      <c r="N13" s="169">
        <f t="shared" si="3"/>
        <v>-20646638.350000016</v>
      </c>
    </row>
    <row r="14" spans="2:14" ht="12.75">
      <c r="B14" s="220" t="s">
        <v>71</v>
      </c>
      <c r="C14" s="220"/>
      <c r="D14" s="159"/>
      <c r="E14" s="122">
        <f>SUM(E15:E16)</f>
        <v>52785755</v>
      </c>
      <c r="F14" s="122">
        <f>SUM(F15:F16)</f>
        <v>21098032.630000003</v>
      </c>
      <c r="G14" s="157">
        <f t="shared" si="0"/>
        <v>0.3996917848385422</v>
      </c>
      <c r="I14" s="122">
        <f>SUM(I15:I16)</f>
        <v>161805596</v>
      </c>
      <c r="J14" s="122">
        <f>SUM(J15:J16)</f>
        <v>63022064.08</v>
      </c>
      <c r="K14" s="157">
        <f t="shared" si="1"/>
        <v>0.38949248751569754</v>
      </c>
      <c r="M14" s="75">
        <f t="shared" si="2"/>
        <v>-109019841</v>
      </c>
      <c r="N14" s="75">
        <f t="shared" si="3"/>
        <v>-41924031.449999996</v>
      </c>
    </row>
    <row r="15" spans="2:14" ht="12.75">
      <c r="B15" s="227" t="s">
        <v>72</v>
      </c>
      <c r="C15" s="227"/>
      <c r="D15" s="160"/>
      <c r="E15" s="161">
        <v>51793810</v>
      </c>
      <c r="F15" s="161">
        <v>20938277.01</v>
      </c>
      <c r="G15" s="162">
        <f t="shared" si="0"/>
        <v>0.40426215043844044</v>
      </c>
      <c r="I15" s="161">
        <v>152282477</v>
      </c>
      <c r="J15" s="161">
        <v>62517623.28</v>
      </c>
      <c r="K15" s="162">
        <f t="shared" si="1"/>
        <v>0.4105372102661556</v>
      </c>
      <c r="M15" s="163">
        <f t="shared" si="2"/>
        <v>-100488667</v>
      </c>
      <c r="N15" s="163">
        <f t="shared" si="3"/>
        <v>-41579346.269999996</v>
      </c>
    </row>
    <row r="16" spans="2:14" ht="12.75">
      <c r="B16" s="225" t="s">
        <v>73</v>
      </c>
      <c r="C16" s="225"/>
      <c r="D16" s="160"/>
      <c r="E16" s="167">
        <v>991945</v>
      </c>
      <c r="F16" s="167">
        <v>159755.62</v>
      </c>
      <c r="G16" s="168">
        <f t="shared" si="0"/>
        <v>0.1610529011185096</v>
      </c>
      <c r="I16" s="167">
        <v>9523119</v>
      </c>
      <c r="J16" s="167">
        <v>504440.8</v>
      </c>
      <c r="K16" s="168">
        <f t="shared" si="1"/>
        <v>0.05297012459888404</v>
      </c>
      <c r="M16" s="169">
        <f t="shared" si="2"/>
        <v>-8531174</v>
      </c>
      <c r="N16" s="169">
        <f t="shared" si="3"/>
        <v>-344685.18</v>
      </c>
    </row>
    <row r="17" spans="2:14" ht="12.75">
      <c r="B17" s="220" t="s">
        <v>74</v>
      </c>
      <c r="C17" s="220"/>
      <c r="D17" s="159"/>
      <c r="E17" s="122">
        <f>SUM(E18:E19)</f>
        <v>898335999</v>
      </c>
      <c r="F17" s="122">
        <f>SUM(F18:F19)</f>
        <v>412847553.3099998</v>
      </c>
      <c r="G17" s="157">
        <f t="shared" si="0"/>
        <v>0.4595691965696232</v>
      </c>
      <c r="I17" s="122">
        <f>SUM(I18:I19)</f>
        <v>2513295635</v>
      </c>
      <c r="J17" s="122">
        <f>SUM(J18:J19)</f>
        <v>771591700.31</v>
      </c>
      <c r="K17" s="157">
        <f t="shared" si="1"/>
        <v>0.3070039551117113</v>
      </c>
      <c r="M17" s="75">
        <f t="shared" si="2"/>
        <v>-1614959636</v>
      </c>
      <c r="N17" s="75">
        <f t="shared" si="3"/>
        <v>-358744147.0000001</v>
      </c>
    </row>
    <row r="18" spans="2:14" ht="12.75">
      <c r="B18" s="227" t="s">
        <v>75</v>
      </c>
      <c r="C18" s="227"/>
      <c r="D18" s="160"/>
      <c r="E18" s="161">
        <v>580957788</v>
      </c>
      <c r="F18" s="161">
        <v>277497317.31999975</v>
      </c>
      <c r="G18" s="162">
        <f t="shared" si="0"/>
        <v>0.47765487106267995</v>
      </c>
      <c r="I18" s="161">
        <v>1232195709</v>
      </c>
      <c r="J18" s="161">
        <v>375830568.55999964</v>
      </c>
      <c r="K18" s="162">
        <f t="shared" si="1"/>
        <v>0.305008827587144</v>
      </c>
      <c r="M18" s="163">
        <f t="shared" si="2"/>
        <v>-651237921</v>
      </c>
      <c r="N18" s="163">
        <f t="shared" si="3"/>
        <v>-98333251.23999989</v>
      </c>
    </row>
    <row r="19" spans="2:14" ht="12.75">
      <c r="B19" s="225" t="s">
        <v>76</v>
      </c>
      <c r="C19" s="225"/>
      <c r="D19" s="160"/>
      <c r="E19" s="167">
        <v>317378211</v>
      </c>
      <c r="F19" s="167">
        <v>135350235.99000004</v>
      </c>
      <c r="G19" s="168">
        <f t="shared" si="0"/>
        <v>0.4264635419159258</v>
      </c>
      <c r="I19" s="167">
        <v>1281099926</v>
      </c>
      <c r="J19" s="167">
        <v>395761131.75000024</v>
      </c>
      <c r="K19" s="168">
        <f t="shared" si="1"/>
        <v>0.30892292140371275</v>
      </c>
      <c r="M19" s="169">
        <f t="shared" si="2"/>
        <v>-963721715</v>
      </c>
      <c r="N19" s="169">
        <f t="shared" si="3"/>
        <v>-260410895.7600002</v>
      </c>
    </row>
    <row r="20" spans="2:14" ht="12.75">
      <c r="B20" s="220" t="s">
        <v>77</v>
      </c>
      <c r="C20" s="220"/>
      <c r="D20" s="159"/>
      <c r="E20" s="122">
        <f>SUM(E21:E22)</f>
        <v>48484945</v>
      </c>
      <c r="F20" s="122">
        <f>SUM(F21:F22)</f>
        <v>43145307</v>
      </c>
      <c r="G20" s="157">
        <f t="shared" si="0"/>
        <v>0.889870185477162</v>
      </c>
      <c r="I20" s="122">
        <f>SUM(I21:I22)</f>
        <v>198939051</v>
      </c>
      <c r="J20" s="122">
        <f>SUM(J21:J22)</f>
        <v>122228561.02</v>
      </c>
      <c r="K20" s="157">
        <f t="shared" si="1"/>
        <v>0.6144020513096747</v>
      </c>
      <c r="M20" s="75">
        <f t="shared" si="2"/>
        <v>-150454106</v>
      </c>
      <c r="N20" s="75">
        <f>+F20-J20</f>
        <v>-79083254.02</v>
      </c>
    </row>
    <row r="21" spans="2:14" ht="12.75">
      <c r="B21" s="232" t="s">
        <v>78</v>
      </c>
      <c r="C21" s="232"/>
      <c r="D21" s="160"/>
      <c r="E21" s="170">
        <v>48484945</v>
      </c>
      <c r="F21" s="170">
        <v>43145307</v>
      </c>
      <c r="G21" s="171">
        <f t="shared" si="0"/>
        <v>0.889870185477162</v>
      </c>
      <c r="I21" s="170">
        <v>198939051</v>
      </c>
      <c r="J21" s="170">
        <v>122228561.02</v>
      </c>
      <c r="K21" s="171">
        <f t="shared" si="1"/>
        <v>0.6144020513096747</v>
      </c>
      <c r="M21" s="172">
        <f t="shared" si="2"/>
        <v>-150454106</v>
      </c>
      <c r="N21" s="172">
        <f t="shared" si="3"/>
        <v>-79083254.02</v>
      </c>
    </row>
    <row r="22" spans="2:14" ht="12.75">
      <c r="B22" s="218" t="s">
        <v>108</v>
      </c>
      <c r="C22" s="218"/>
      <c r="D22" s="160"/>
      <c r="E22" s="173">
        <v>0</v>
      </c>
      <c r="F22" s="173">
        <v>0</v>
      </c>
      <c r="G22" s="174" t="str">
        <f>IF(E22=0," ",F22/E22)</f>
        <v> </v>
      </c>
      <c r="I22" s="173">
        <v>0</v>
      </c>
      <c r="J22" s="173">
        <v>0</v>
      </c>
      <c r="K22" s="174" t="str">
        <f>IF(I22=0," ",J22/I22)</f>
        <v> </v>
      </c>
      <c r="M22" s="175">
        <f>+E22-I22</f>
        <v>0</v>
      </c>
      <c r="N22" s="175">
        <f>+F22-J22</f>
        <v>0</v>
      </c>
    </row>
    <row r="23" spans="2:14" ht="12.75">
      <c r="B23" s="220" t="s">
        <v>79</v>
      </c>
      <c r="C23" s="220"/>
      <c r="D23" s="159"/>
      <c r="E23" s="122">
        <f>SUM(E24:E28)</f>
        <v>68012197</v>
      </c>
      <c r="F23" s="122">
        <f>SUM(F24:F28)</f>
        <v>33976931.64</v>
      </c>
      <c r="G23" s="157">
        <f t="shared" si="0"/>
        <v>0.4995711525096006</v>
      </c>
      <c r="I23" s="122">
        <f>SUM(I24:I28)</f>
        <v>97353955</v>
      </c>
      <c r="J23" s="122">
        <f>SUM(J24:J28)</f>
        <v>54444855.69</v>
      </c>
      <c r="K23" s="157">
        <f t="shared" si="1"/>
        <v>0.5592464701613817</v>
      </c>
      <c r="M23" s="75">
        <f t="shared" si="2"/>
        <v>-29341758</v>
      </c>
      <c r="N23" s="75">
        <f t="shared" si="3"/>
        <v>-20467924.049999997</v>
      </c>
    </row>
    <row r="24" spans="2:14" ht="12.75">
      <c r="B24" s="227" t="s">
        <v>80</v>
      </c>
      <c r="C24" s="227"/>
      <c r="D24" s="160"/>
      <c r="E24" s="161">
        <v>0</v>
      </c>
      <c r="F24" s="161">
        <v>0</v>
      </c>
      <c r="G24" s="162" t="str">
        <f t="shared" si="0"/>
        <v> </v>
      </c>
      <c r="I24" s="161">
        <v>0</v>
      </c>
      <c r="J24" s="161">
        <v>0</v>
      </c>
      <c r="K24" s="162" t="str">
        <f t="shared" si="1"/>
        <v> </v>
      </c>
      <c r="M24" s="163">
        <f t="shared" si="2"/>
        <v>0</v>
      </c>
      <c r="N24" s="163">
        <f t="shared" si="3"/>
        <v>0</v>
      </c>
    </row>
    <row r="25" spans="2:14" ht="12.75">
      <c r="B25" s="227" t="s">
        <v>81</v>
      </c>
      <c r="C25" s="227"/>
      <c r="D25" s="160"/>
      <c r="E25" s="161">
        <v>10642312</v>
      </c>
      <c r="F25" s="161">
        <v>5212500</v>
      </c>
      <c r="G25" s="162">
        <f t="shared" si="0"/>
        <v>0.4897901884477734</v>
      </c>
      <c r="I25" s="161">
        <v>13628770</v>
      </c>
      <c r="J25" s="161">
        <v>6084193.18</v>
      </c>
      <c r="K25" s="162">
        <f t="shared" si="1"/>
        <v>0.44642276449011903</v>
      </c>
      <c r="M25" s="163">
        <f t="shared" si="2"/>
        <v>-2986458</v>
      </c>
      <c r="N25" s="163">
        <f t="shared" si="3"/>
        <v>-871693.1799999997</v>
      </c>
    </row>
    <row r="26" spans="2:14" ht="12.75">
      <c r="B26" s="219" t="s">
        <v>82</v>
      </c>
      <c r="C26" s="219"/>
      <c r="D26" s="160"/>
      <c r="E26" s="164">
        <v>0</v>
      </c>
      <c r="F26" s="164">
        <v>0</v>
      </c>
      <c r="G26" s="165" t="str">
        <f t="shared" si="0"/>
        <v> </v>
      </c>
      <c r="I26" s="164">
        <v>14000</v>
      </c>
      <c r="J26" s="164">
        <v>0</v>
      </c>
      <c r="K26" s="165">
        <f t="shared" si="1"/>
        <v>0</v>
      </c>
      <c r="M26" s="166">
        <f t="shared" si="2"/>
        <v>-14000</v>
      </c>
      <c r="N26" s="166">
        <f t="shared" si="3"/>
        <v>0</v>
      </c>
    </row>
    <row r="27" spans="2:14" ht="12.75">
      <c r="B27" s="219" t="s">
        <v>83</v>
      </c>
      <c r="C27" s="219"/>
      <c r="D27" s="160"/>
      <c r="E27" s="164">
        <v>46418251</v>
      </c>
      <c r="F27" s="164">
        <v>26005496.65</v>
      </c>
      <c r="G27" s="165">
        <f t="shared" si="0"/>
        <v>0.5602429236293285</v>
      </c>
      <c r="I27" s="164">
        <v>64657162</v>
      </c>
      <c r="J27" s="164">
        <v>34916094.83</v>
      </c>
      <c r="K27" s="165">
        <f t="shared" si="1"/>
        <v>0.5400189824292009</v>
      </c>
      <c r="M27" s="166">
        <f t="shared" si="2"/>
        <v>-18238911</v>
      </c>
      <c r="N27" s="166">
        <f t="shared" si="3"/>
        <v>-8910598.18</v>
      </c>
    </row>
    <row r="28" spans="2:14" ht="12.75">
      <c r="B28" s="225" t="s">
        <v>84</v>
      </c>
      <c r="C28" s="225"/>
      <c r="D28" s="160"/>
      <c r="E28" s="167">
        <v>10951634</v>
      </c>
      <c r="F28" s="167">
        <v>2758934.9899999998</v>
      </c>
      <c r="G28" s="168">
        <f t="shared" si="0"/>
        <v>0.25191994089649083</v>
      </c>
      <c r="I28" s="167">
        <v>19054023</v>
      </c>
      <c r="J28" s="167">
        <v>13444567.680000003</v>
      </c>
      <c r="K28" s="168">
        <f t="shared" si="1"/>
        <v>0.7056025743224936</v>
      </c>
      <c r="M28" s="169">
        <f t="shared" si="2"/>
        <v>-8102389</v>
      </c>
      <c r="N28" s="169">
        <f t="shared" si="3"/>
        <v>-10685632.690000003</v>
      </c>
    </row>
    <row r="29" spans="2:14" ht="12.75">
      <c r="B29" s="220" t="s">
        <v>85</v>
      </c>
      <c r="C29" s="220"/>
      <c r="D29" s="159"/>
      <c r="E29" s="122">
        <f>SUM(E30)</f>
        <v>152884036</v>
      </c>
      <c r="F29" s="122">
        <f>SUM(F30)</f>
        <v>7159688</v>
      </c>
      <c r="G29" s="157">
        <f t="shared" si="0"/>
        <v>0.04683084112195991</v>
      </c>
      <c r="I29" s="122">
        <f>SUM(I30)</f>
        <v>219167</v>
      </c>
      <c r="J29" s="122">
        <f>SUM(J30)</f>
        <v>126000</v>
      </c>
      <c r="K29" s="157">
        <f t="shared" si="1"/>
        <v>0.574904068586968</v>
      </c>
      <c r="M29" s="75">
        <f t="shared" si="2"/>
        <v>152664869</v>
      </c>
      <c r="N29" s="75">
        <f t="shared" si="3"/>
        <v>7033688</v>
      </c>
    </row>
    <row r="30" spans="2:14" ht="12.75">
      <c r="B30" s="226" t="s">
        <v>86</v>
      </c>
      <c r="C30" s="226"/>
      <c r="D30" s="160"/>
      <c r="E30" s="176">
        <v>152884036</v>
      </c>
      <c r="F30" s="176">
        <v>7159688</v>
      </c>
      <c r="G30" s="177">
        <f t="shared" si="0"/>
        <v>0.04683084112195991</v>
      </c>
      <c r="I30" s="176">
        <v>219167</v>
      </c>
      <c r="J30" s="176">
        <v>126000</v>
      </c>
      <c r="K30" s="177">
        <f t="shared" si="1"/>
        <v>0.574904068586968</v>
      </c>
      <c r="M30" s="178">
        <f t="shared" si="2"/>
        <v>152664869</v>
      </c>
      <c r="N30" s="178">
        <f t="shared" si="3"/>
        <v>7033688</v>
      </c>
    </row>
    <row r="31" spans="2:14" ht="12.75">
      <c r="B31" s="220" t="s">
        <v>87</v>
      </c>
      <c r="C31" s="220"/>
      <c r="D31" s="159"/>
      <c r="E31" s="122">
        <f>SUM(E32)</f>
        <v>0</v>
      </c>
      <c r="F31" s="122">
        <f>SUM(F32)</f>
        <v>0</v>
      </c>
      <c r="G31" s="157" t="str">
        <f t="shared" si="0"/>
        <v> </v>
      </c>
      <c r="I31" s="122">
        <f>SUM(I32)</f>
        <v>0</v>
      </c>
      <c r="J31" s="122">
        <f>SUM(J32)</f>
        <v>0</v>
      </c>
      <c r="K31" s="157" t="str">
        <f t="shared" si="1"/>
        <v> </v>
      </c>
      <c r="M31" s="75">
        <f t="shared" si="2"/>
        <v>0</v>
      </c>
      <c r="N31" s="75">
        <f t="shared" si="3"/>
        <v>0</v>
      </c>
    </row>
    <row r="32" spans="2:14" ht="12.75">
      <c r="B32" s="226" t="s">
        <v>88</v>
      </c>
      <c r="C32" s="226"/>
      <c r="D32" s="160"/>
      <c r="E32" s="176">
        <v>0</v>
      </c>
      <c r="F32" s="176">
        <v>0</v>
      </c>
      <c r="G32" s="177" t="str">
        <f t="shared" si="0"/>
        <v> </v>
      </c>
      <c r="I32" s="176">
        <v>0</v>
      </c>
      <c r="J32" s="176">
        <v>0</v>
      </c>
      <c r="K32" s="177" t="str">
        <f t="shared" si="1"/>
        <v> </v>
      </c>
      <c r="M32" s="178">
        <f t="shared" si="2"/>
        <v>0</v>
      </c>
      <c r="N32" s="178">
        <f t="shared" si="3"/>
        <v>0</v>
      </c>
    </row>
    <row r="33" spans="2:14" ht="12.75">
      <c r="B33" s="220" t="s">
        <v>89</v>
      </c>
      <c r="C33" s="220"/>
      <c r="D33" s="159"/>
      <c r="E33" s="122">
        <f>SUM(E34:E40)</f>
        <v>158248387</v>
      </c>
      <c r="F33" s="122">
        <f>SUM(F34:F40)</f>
        <v>48911563.5</v>
      </c>
      <c r="G33" s="157">
        <f t="shared" si="0"/>
        <v>0.3090809608062545</v>
      </c>
      <c r="I33" s="122">
        <f>SUM(I34:I40)</f>
        <v>401109503</v>
      </c>
      <c r="J33" s="122">
        <f>SUM(J34:J40)</f>
        <v>49543252.95</v>
      </c>
      <c r="K33" s="157">
        <f t="shared" si="1"/>
        <v>0.123515530246612</v>
      </c>
      <c r="M33" s="75">
        <f t="shared" si="2"/>
        <v>-242861116</v>
      </c>
      <c r="N33" s="75">
        <f t="shared" si="3"/>
        <v>-631689.450000003</v>
      </c>
    </row>
    <row r="34" spans="2:14" ht="12.75">
      <c r="B34" s="227" t="s">
        <v>90</v>
      </c>
      <c r="C34" s="227"/>
      <c r="D34" s="160"/>
      <c r="E34" s="161">
        <v>0</v>
      </c>
      <c r="F34" s="161">
        <v>0</v>
      </c>
      <c r="G34" s="162" t="str">
        <f t="shared" si="0"/>
        <v> </v>
      </c>
      <c r="I34" s="161">
        <v>811048</v>
      </c>
      <c r="J34" s="161">
        <v>0</v>
      </c>
      <c r="K34" s="162">
        <f t="shared" si="1"/>
        <v>0</v>
      </c>
      <c r="M34" s="163">
        <f t="shared" si="2"/>
        <v>-811048</v>
      </c>
      <c r="N34" s="163">
        <f t="shared" si="3"/>
        <v>0</v>
      </c>
    </row>
    <row r="35" spans="2:14" ht="12.75">
      <c r="B35" s="227" t="s">
        <v>91</v>
      </c>
      <c r="C35" s="227"/>
      <c r="D35" s="160"/>
      <c r="E35" s="161">
        <v>58421405</v>
      </c>
      <c r="F35" s="161">
        <v>19795307.540000003</v>
      </c>
      <c r="G35" s="162">
        <f t="shared" si="0"/>
        <v>0.3388365538281731</v>
      </c>
      <c r="I35" s="161">
        <v>135574241</v>
      </c>
      <c r="J35" s="161">
        <v>14851083.969999999</v>
      </c>
      <c r="K35" s="162">
        <f t="shared" si="1"/>
        <v>0.10954207717083955</v>
      </c>
      <c r="M35" s="163">
        <f t="shared" si="2"/>
        <v>-77152836</v>
      </c>
      <c r="N35" s="163">
        <f t="shared" si="3"/>
        <v>4944223.570000004</v>
      </c>
    </row>
    <row r="36" spans="2:14" ht="12.75">
      <c r="B36" s="229" t="s">
        <v>92</v>
      </c>
      <c r="C36" s="230"/>
      <c r="D36" s="160"/>
      <c r="E36" s="164">
        <v>68327440</v>
      </c>
      <c r="F36" s="164">
        <v>24970106.219999995</v>
      </c>
      <c r="G36" s="165">
        <f t="shared" si="0"/>
        <v>0.3654477062216877</v>
      </c>
      <c r="I36" s="164">
        <v>176551147</v>
      </c>
      <c r="J36" s="164">
        <v>19427804.59</v>
      </c>
      <c r="K36" s="165">
        <f t="shared" si="1"/>
        <v>0.11004065915244379</v>
      </c>
      <c r="M36" s="166">
        <f t="shared" si="2"/>
        <v>-108223707</v>
      </c>
      <c r="N36" s="166">
        <f t="shared" si="3"/>
        <v>5542301.629999995</v>
      </c>
    </row>
    <row r="37" spans="2:14" ht="12.75">
      <c r="B37" s="179" t="s">
        <v>93</v>
      </c>
      <c r="C37" s="180"/>
      <c r="D37" s="160"/>
      <c r="E37" s="164">
        <v>0</v>
      </c>
      <c r="F37" s="164">
        <v>0</v>
      </c>
      <c r="G37" s="165" t="str">
        <f t="shared" si="0"/>
        <v> </v>
      </c>
      <c r="I37" s="164">
        <v>0</v>
      </c>
      <c r="J37" s="164">
        <v>0</v>
      </c>
      <c r="K37" s="165" t="str">
        <f t="shared" si="1"/>
        <v> </v>
      </c>
      <c r="M37" s="166">
        <f t="shared" si="2"/>
        <v>0</v>
      </c>
      <c r="N37" s="166">
        <f aca="true" t="shared" si="4" ref="N37:N42">+F37-J37</f>
        <v>0</v>
      </c>
    </row>
    <row r="38" spans="2:14" ht="12.75">
      <c r="B38" s="219" t="s">
        <v>94</v>
      </c>
      <c r="C38" s="219"/>
      <c r="D38" s="160"/>
      <c r="E38" s="164">
        <v>193347</v>
      </c>
      <c r="F38" s="164">
        <v>83539.13</v>
      </c>
      <c r="G38" s="165">
        <f t="shared" si="0"/>
        <v>0.43206840550926573</v>
      </c>
      <c r="I38" s="164">
        <v>6977220</v>
      </c>
      <c r="J38" s="164">
        <v>6308283.55</v>
      </c>
      <c r="K38" s="165">
        <f t="shared" si="1"/>
        <v>0.9041256474641762</v>
      </c>
      <c r="M38" s="166">
        <f>+E38-I38</f>
        <v>-6783873</v>
      </c>
      <c r="N38" s="166">
        <f t="shared" si="4"/>
        <v>-6224744.42</v>
      </c>
    </row>
    <row r="39" spans="2:14" ht="12.75">
      <c r="B39" s="219" t="s">
        <v>95</v>
      </c>
      <c r="C39" s="219"/>
      <c r="D39" s="160"/>
      <c r="E39" s="164">
        <v>1178988</v>
      </c>
      <c r="F39" s="164">
        <v>333425.61000000004</v>
      </c>
      <c r="G39" s="165">
        <f t="shared" si="0"/>
        <v>0.28280661889688447</v>
      </c>
      <c r="I39" s="164">
        <v>337494</v>
      </c>
      <c r="J39" s="164">
        <v>129560.6</v>
      </c>
      <c r="K39" s="165">
        <f t="shared" si="1"/>
        <v>0.3838900839718632</v>
      </c>
      <c r="M39" s="166">
        <f>+E39-I39</f>
        <v>841494</v>
      </c>
      <c r="N39" s="166">
        <f t="shared" si="4"/>
        <v>203865.01000000004</v>
      </c>
    </row>
    <row r="40" spans="2:14" ht="12.75">
      <c r="B40" s="218" t="s">
        <v>96</v>
      </c>
      <c r="C40" s="218"/>
      <c r="D40" s="160"/>
      <c r="E40" s="173">
        <v>30127207</v>
      </c>
      <c r="F40" s="173">
        <v>3729185</v>
      </c>
      <c r="G40" s="174">
        <f t="shared" si="0"/>
        <v>0.12378130505094614</v>
      </c>
      <c r="I40" s="173">
        <v>80858353</v>
      </c>
      <c r="J40" s="173">
        <v>8826520.240000002</v>
      </c>
      <c r="K40" s="174">
        <f t="shared" si="1"/>
        <v>0.10916027735563699</v>
      </c>
      <c r="M40" s="175">
        <f>+E40-I40</f>
        <v>-50731146</v>
      </c>
      <c r="N40" s="175">
        <f t="shared" si="4"/>
        <v>-5097335.240000002</v>
      </c>
    </row>
    <row r="41" spans="5:14" ht="3.75" customHeight="1">
      <c r="E41" s="121"/>
      <c r="F41" s="121"/>
      <c r="G41" s="156"/>
      <c r="I41" s="121">
        <v>0</v>
      </c>
      <c r="J41" s="121">
        <v>0</v>
      </c>
      <c r="K41" s="156" t="str">
        <f t="shared" si="1"/>
        <v> </v>
      </c>
      <c r="M41" s="68">
        <f>+E41-I41</f>
        <v>0</v>
      </c>
      <c r="N41" s="68">
        <f t="shared" si="4"/>
        <v>0</v>
      </c>
    </row>
    <row r="42" spans="2:14" ht="21" customHeight="1">
      <c r="B42" s="228" t="s">
        <v>97</v>
      </c>
      <c r="C42" s="228"/>
      <c r="D42" s="74"/>
      <c r="E42" s="122">
        <f>+E33+E31+E29+E23+E20+E17+E14+E10</f>
        <v>1958463768</v>
      </c>
      <c r="F42" s="122">
        <f>+F33+F31+F29+F23+F20+F17+F14+F10</f>
        <v>849388834.5399995</v>
      </c>
      <c r="G42" s="157">
        <f>IF(E42=0," ",F42/E42)</f>
        <v>0.43370158203508796</v>
      </c>
      <c r="I42" s="122">
        <f>+I33+I31+I29+I23+I20+I17+I14+I10</f>
        <v>5450900870</v>
      </c>
      <c r="J42" s="122">
        <f>+J33+J31+J29+J23+J20+J17+J14+J10</f>
        <v>1827091409.5499988</v>
      </c>
      <c r="K42" s="157">
        <f>IF(I42=0," ",J42/I42)</f>
        <v>0.33519072408851175</v>
      </c>
      <c r="M42" s="75">
        <f>+E42-I42</f>
        <v>-3492437102</v>
      </c>
      <c r="N42" s="75">
        <f t="shared" si="4"/>
        <v>-977702575.0099993</v>
      </c>
    </row>
    <row r="43" ht="12.75">
      <c r="B43" s="108" t="s">
        <v>148</v>
      </c>
    </row>
    <row r="44" ht="12.75">
      <c r="B44" s="107" t="s">
        <v>147</v>
      </c>
    </row>
  </sheetData>
  <sheetProtection/>
  <mergeCells count="39">
    <mergeCell ref="B16:C16"/>
    <mergeCell ref="B11:C11"/>
    <mergeCell ref="E8:G8"/>
    <mergeCell ref="B6:C6"/>
    <mergeCell ref="B2:N2"/>
    <mergeCell ref="B3:N3"/>
    <mergeCell ref="B4:N4"/>
    <mergeCell ref="B15:C15"/>
    <mergeCell ref="M8:N8"/>
    <mergeCell ref="B35:C35"/>
    <mergeCell ref="B24:C24"/>
    <mergeCell ref="I8:K8"/>
    <mergeCell ref="B10:C10"/>
    <mergeCell ref="B14:C14"/>
    <mergeCell ref="B17:C17"/>
    <mergeCell ref="B20:C20"/>
    <mergeCell ref="B23:C23"/>
    <mergeCell ref="B21:C21"/>
    <mergeCell ref="B13:C13"/>
    <mergeCell ref="B42:C42"/>
    <mergeCell ref="B25:C25"/>
    <mergeCell ref="B29:C29"/>
    <mergeCell ref="B30:C30"/>
    <mergeCell ref="B31:C31"/>
    <mergeCell ref="B40:C40"/>
    <mergeCell ref="B39:C39"/>
    <mergeCell ref="B38:C38"/>
    <mergeCell ref="B36:C36"/>
    <mergeCell ref="B34:C34"/>
    <mergeCell ref="B22:C22"/>
    <mergeCell ref="B27:C27"/>
    <mergeCell ref="B26:C26"/>
    <mergeCell ref="B33:C33"/>
    <mergeCell ref="B12:C12"/>
    <mergeCell ref="B8:C9"/>
    <mergeCell ref="B28:C28"/>
    <mergeCell ref="B32:C32"/>
    <mergeCell ref="B19:C19"/>
    <mergeCell ref="B18:C1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6"/>
  <sheetViews>
    <sheetView showGridLines="0" showZeros="0" zoomScalePageLayoutView="0" workbookViewId="0" topLeftCell="A1">
      <selection activeCell="B32" sqref="B32"/>
    </sheetView>
  </sheetViews>
  <sheetFormatPr defaultColWidth="16.8515625" defaultRowHeight="12.75"/>
  <cols>
    <col min="1" max="1" width="2.7109375" style="61" customWidth="1"/>
    <col min="2" max="2" width="35.00390625" style="61" customWidth="1"/>
    <col min="3" max="4" width="13.7109375" style="61" bestFit="1" customWidth="1"/>
    <col min="5" max="5" width="11.28125" style="61" bestFit="1" customWidth="1"/>
    <col min="6" max="7" width="11.28125" style="61" customWidth="1"/>
    <col min="8" max="8" width="10.00390625" style="61" bestFit="1" customWidth="1"/>
    <col min="9" max="10" width="12.00390625" style="61" bestFit="1" customWidth="1"/>
    <col min="11" max="11" width="9.7109375" style="61" bestFit="1" customWidth="1"/>
    <col min="12" max="12" width="12.421875" style="61" bestFit="1" customWidth="1"/>
    <col min="13" max="13" width="11.57421875" style="61" bestFit="1" customWidth="1"/>
    <col min="14" max="14" width="9.7109375" style="61" bestFit="1" customWidth="1"/>
    <col min="15" max="16" width="11.57421875" style="61" customWidth="1"/>
    <col min="17" max="17" width="9.7109375" style="61" bestFit="1" customWidth="1"/>
    <col min="18" max="19" width="11.57421875" style="61" customWidth="1"/>
    <col min="20" max="20" width="12.00390625" style="61" bestFit="1" customWidth="1"/>
    <col min="21" max="21" width="7.7109375" style="193" bestFit="1" customWidth="1"/>
    <col min="22" max="16384" width="16.8515625" style="61" customWidth="1"/>
  </cols>
  <sheetData>
    <row r="2" spans="2:21" ht="1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86"/>
    </row>
    <row r="3" spans="2:21" ht="20.25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4" spans="2:21" ht="20.25">
      <c r="B4" s="249" t="s">
        <v>11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2:21" ht="18.75">
      <c r="B5" s="247" t="s">
        <v>12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</row>
    <row r="6" spans="2:21" ht="15">
      <c r="B6" s="248" t="s">
        <v>120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</row>
    <row r="7" spans="3:21" ht="15.75"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2:21" ht="15">
      <c r="B8" s="99" t="s">
        <v>23</v>
      </c>
      <c r="C8" s="100"/>
      <c r="D8" s="100"/>
      <c r="E8" s="100"/>
      <c r="F8" s="100"/>
      <c r="G8" s="100"/>
      <c r="H8" s="100"/>
      <c r="I8" s="101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87"/>
    </row>
    <row r="9" spans="2:21" ht="15">
      <c r="B9" s="99" t="s">
        <v>9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0"/>
      <c r="U9" s="187"/>
    </row>
    <row r="10" spans="2:21" ht="15.75" thickBot="1">
      <c r="B10" s="99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0"/>
      <c r="U10" s="187"/>
    </row>
    <row r="11" spans="2:21" ht="15.75" thickBot="1">
      <c r="B11" s="99"/>
      <c r="C11" s="250" t="s">
        <v>26</v>
      </c>
      <c r="D11" s="251"/>
      <c r="E11" s="252"/>
      <c r="F11" s="250" t="s">
        <v>151</v>
      </c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2"/>
    </row>
    <row r="12" spans="2:21" ht="22.5" customHeight="1">
      <c r="B12" s="236" t="s">
        <v>143</v>
      </c>
      <c r="C12" s="244" t="s">
        <v>24</v>
      </c>
      <c r="D12" s="245"/>
      <c r="E12" s="246"/>
      <c r="F12" s="244" t="s">
        <v>28</v>
      </c>
      <c r="G12" s="245"/>
      <c r="H12" s="246"/>
      <c r="I12" s="241" t="s">
        <v>29</v>
      </c>
      <c r="J12" s="242"/>
      <c r="K12" s="243"/>
      <c r="L12" s="241" t="s">
        <v>62</v>
      </c>
      <c r="M12" s="242"/>
      <c r="N12" s="243"/>
      <c r="O12" s="241" t="s">
        <v>30</v>
      </c>
      <c r="P12" s="242"/>
      <c r="Q12" s="243"/>
      <c r="R12" s="238" t="s">
        <v>4</v>
      </c>
      <c r="S12" s="239"/>
      <c r="T12" s="239"/>
      <c r="U12" s="240"/>
    </row>
    <row r="13" spans="2:21" ht="15">
      <c r="B13" s="237"/>
      <c r="C13" s="5">
        <v>2016</v>
      </c>
      <c r="D13" s="3">
        <v>2017</v>
      </c>
      <c r="E13" s="6" t="s">
        <v>13</v>
      </c>
      <c r="F13" s="5">
        <v>2016</v>
      </c>
      <c r="G13" s="3">
        <v>2017</v>
      </c>
      <c r="H13" s="6" t="s">
        <v>13</v>
      </c>
      <c r="I13" s="5">
        <v>2016</v>
      </c>
      <c r="J13" s="3">
        <v>2017</v>
      </c>
      <c r="K13" s="6" t="s">
        <v>13</v>
      </c>
      <c r="L13" s="5">
        <v>2016</v>
      </c>
      <c r="M13" s="3">
        <v>2017</v>
      </c>
      <c r="N13" s="6" t="s">
        <v>13</v>
      </c>
      <c r="O13" s="5">
        <v>2016</v>
      </c>
      <c r="P13" s="3">
        <v>2017</v>
      </c>
      <c r="Q13" s="6" t="s">
        <v>13</v>
      </c>
      <c r="R13" s="5">
        <v>2016</v>
      </c>
      <c r="S13" s="3">
        <v>2017</v>
      </c>
      <c r="T13" s="3" t="s">
        <v>13</v>
      </c>
      <c r="U13" s="7" t="s">
        <v>14</v>
      </c>
    </row>
    <row r="14" spans="2:21" ht="4.5" customHeight="1">
      <c r="B14" s="62"/>
      <c r="C14" s="103"/>
      <c r="D14" s="104"/>
      <c r="E14" s="105"/>
      <c r="F14" s="103"/>
      <c r="G14" s="104"/>
      <c r="H14" s="105"/>
      <c r="I14" s="103"/>
      <c r="J14" s="104"/>
      <c r="K14" s="105"/>
      <c r="L14" s="103"/>
      <c r="M14" s="104"/>
      <c r="N14" s="105"/>
      <c r="O14" s="103"/>
      <c r="P14" s="104"/>
      <c r="Q14" s="105"/>
      <c r="R14" s="103"/>
      <c r="S14" s="104"/>
      <c r="T14" s="104"/>
      <c r="U14" s="188"/>
    </row>
    <row r="15" spans="2:22" ht="15">
      <c r="B15" s="96" t="s">
        <v>15</v>
      </c>
      <c r="C15" s="24">
        <f>SUM(C17:C22)</f>
        <v>1647331345</v>
      </c>
      <c r="D15" s="25">
        <f>SUM(D17:D22)</f>
        <v>5049572200</v>
      </c>
      <c r="E15" s="26">
        <f>+D15-C15</f>
        <v>3402240855</v>
      </c>
      <c r="F15" s="24">
        <f>SUM(F17:F22)</f>
        <v>747607598.0799992</v>
      </c>
      <c r="G15" s="25">
        <f>SUM(G17:G22)</f>
        <v>1628897731.849998</v>
      </c>
      <c r="H15" s="26">
        <f>+G15-F15</f>
        <v>881290133.7699988</v>
      </c>
      <c r="I15" s="24">
        <f>SUM(I17:I22)</f>
        <v>45599384.96000001</v>
      </c>
      <c r="J15" s="27">
        <f>SUM(J17:J22)</f>
        <v>69471894.70999995</v>
      </c>
      <c r="K15" s="28">
        <f>+J15-I15</f>
        <v>23872509.74999994</v>
      </c>
      <c r="L15" s="24">
        <f>SUM(L17:L22)</f>
        <v>0</v>
      </c>
      <c r="M15" s="25">
        <f>SUM(M17:M22)</f>
        <v>0</v>
      </c>
      <c r="N15" s="26">
        <f>+M15-L15</f>
        <v>0</v>
      </c>
      <c r="O15" s="24">
        <f>SUM(O17:O22)</f>
        <v>110600</v>
      </c>
      <c r="P15" s="25">
        <f>SUM(P17:P22)</f>
        <v>79052530.04000008</v>
      </c>
      <c r="Q15" s="26">
        <f>+P15-O15</f>
        <v>78941930.04000008</v>
      </c>
      <c r="R15" s="24">
        <f>SUM(R17:R22)</f>
        <v>793317583.0399992</v>
      </c>
      <c r="S15" s="25">
        <f>SUM(S17:S22)</f>
        <v>1777422156.599998</v>
      </c>
      <c r="T15" s="25">
        <f>+S15-R15</f>
        <v>984104573.5599988</v>
      </c>
      <c r="U15" s="189">
        <f>IF(R15=0,"",T15/R15)</f>
        <v>1.2404925777503912</v>
      </c>
      <c r="V15" s="64"/>
    </row>
    <row r="16" spans="2:21" ht="4.5" customHeight="1">
      <c r="B16" s="62"/>
      <c r="C16" s="29"/>
      <c r="D16" s="30"/>
      <c r="E16" s="31"/>
      <c r="F16" s="29"/>
      <c r="G16" s="30"/>
      <c r="H16" s="31"/>
      <c r="I16" s="29"/>
      <c r="J16" s="30"/>
      <c r="K16" s="31"/>
      <c r="L16" s="29"/>
      <c r="M16" s="30"/>
      <c r="N16" s="31"/>
      <c r="O16" s="29"/>
      <c r="P16" s="30"/>
      <c r="Q16" s="31"/>
      <c r="R16" s="29"/>
      <c r="S16" s="30"/>
      <c r="T16" s="30"/>
      <c r="U16" s="188">
        <f aca="true" t="shared" si="0" ref="U16:U29">IF(R16=0,"",T16/R16)</f>
      </c>
    </row>
    <row r="17" spans="2:23" ht="15">
      <c r="B17" s="62" t="s">
        <v>36</v>
      </c>
      <c r="C17" s="29">
        <f>+Egresos_1!F22</f>
        <v>579712449</v>
      </c>
      <c r="D17" s="30">
        <f>+Egresos_1!J22</f>
        <v>2078177963</v>
      </c>
      <c r="E17" s="31">
        <f aca="true" t="shared" si="1" ref="E17:E22">+D17-C17</f>
        <v>1498465514</v>
      </c>
      <c r="F17" s="29">
        <v>282219238.46</v>
      </c>
      <c r="G17" s="30">
        <v>765617366.8999987</v>
      </c>
      <c r="H17" s="31">
        <f aca="true" t="shared" si="2" ref="H17:H22">+G17-F17</f>
        <v>483398128.4399987</v>
      </c>
      <c r="I17" s="29">
        <v>30520</v>
      </c>
      <c r="J17" s="30">
        <v>517608.6</v>
      </c>
      <c r="K17" s="31">
        <f aca="true" t="shared" si="3" ref="K17:K22">+J17-I17</f>
        <v>487088.6</v>
      </c>
      <c r="L17" s="110">
        <v>0</v>
      </c>
      <c r="M17" s="112">
        <v>0</v>
      </c>
      <c r="N17" s="31">
        <f aca="true" t="shared" si="4" ref="N17:N22">+M17-L17</f>
        <v>0</v>
      </c>
      <c r="O17" s="110">
        <v>0</v>
      </c>
      <c r="P17" s="112">
        <v>0</v>
      </c>
      <c r="Q17" s="31">
        <f aca="true" t="shared" si="5" ref="Q17:Q22">+P17-O17</f>
        <v>0</v>
      </c>
      <c r="R17" s="29">
        <f>+F17+I17+L17+O17</f>
        <v>282249758.46</v>
      </c>
      <c r="S17" s="30">
        <f aca="true" t="shared" si="6" ref="R17:S19">+G17+J17+M17+P17</f>
        <v>766134975.4999987</v>
      </c>
      <c r="T17" s="30">
        <f aca="true" t="shared" si="7" ref="T17:T22">+S17-R17</f>
        <v>483885217.0399987</v>
      </c>
      <c r="U17" s="188">
        <f t="shared" si="0"/>
        <v>1.714386647060937</v>
      </c>
      <c r="W17" s="63"/>
    </row>
    <row r="18" spans="2:23" ht="15">
      <c r="B18" s="62" t="s">
        <v>37</v>
      </c>
      <c r="C18" s="29">
        <f>+Egresos_1!F23</f>
        <v>52785755</v>
      </c>
      <c r="D18" s="30">
        <f>+Egresos_1!J23</f>
        <v>161805596</v>
      </c>
      <c r="E18" s="31">
        <f t="shared" si="1"/>
        <v>109019841</v>
      </c>
      <c r="F18" s="29">
        <v>20993736.130000003</v>
      </c>
      <c r="G18" s="30">
        <v>63022064.08</v>
      </c>
      <c r="H18" s="31">
        <f t="shared" si="2"/>
        <v>42028327.949999996</v>
      </c>
      <c r="I18" s="29">
        <v>104296.5</v>
      </c>
      <c r="J18" s="30">
        <v>0</v>
      </c>
      <c r="K18" s="31">
        <f t="shared" si="3"/>
        <v>-104296.5</v>
      </c>
      <c r="L18" s="110">
        <v>0</v>
      </c>
      <c r="M18" s="112">
        <v>0</v>
      </c>
      <c r="N18" s="31">
        <f t="shared" si="4"/>
        <v>0</v>
      </c>
      <c r="O18" s="110">
        <v>0</v>
      </c>
      <c r="P18" s="112">
        <v>0</v>
      </c>
      <c r="Q18" s="31">
        <f t="shared" si="5"/>
        <v>0</v>
      </c>
      <c r="R18" s="29">
        <f t="shared" si="6"/>
        <v>21098032.630000003</v>
      </c>
      <c r="S18" s="30">
        <f>+G18+J18+M18+P18</f>
        <v>63022064.08</v>
      </c>
      <c r="T18" s="30">
        <f t="shared" si="7"/>
        <v>41924031.449999996</v>
      </c>
      <c r="U18" s="188">
        <f t="shared" si="0"/>
        <v>1.987106200148103</v>
      </c>
      <c r="W18" s="63"/>
    </row>
    <row r="19" spans="2:23" ht="15">
      <c r="B19" s="62" t="s">
        <v>38</v>
      </c>
      <c r="C19" s="29">
        <f>+Egresos_1!F24</f>
        <v>898335999</v>
      </c>
      <c r="D19" s="30">
        <f>+Egresos_1!J24</f>
        <v>2513295635</v>
      </c>
      <c r="E19" s="31">
        <f t="shared" si="1"/>
        <v>1614959636</v>
      </c>
      <c r="F19" s="29">
        <v>372375370.7599993</v>
      </c>
      <c r="G19" s="30">
        <v>623859677.9999993</v>
      </c>
      <c r="H19" s="31">
        <f t="shared" si="2"/>
        <v>251484307.24</v>
      </c>
      <c r="I19" s="29">
        <v>40361582.55000001</v>
      </c>
      <c r="J19" s="30">
        <v>68679492.26999995</v>
      </c>
      <c r="K19" s="31">
        <f t="shared" si="3"/>
        <v>28317909.71999994</v>
      </c>
      <c r="L19" s="110">
        <v>0</v>
      </c>
      <c r="M19" s="112">
        <v>0</v>
      </c>
      <c r="N19" s="31">
        <f t="shared" si="4"/>
        <v>0</v>
      </c>
      <c r="O19" s="110">
        <v>110600</v>
      </c>
      <c r="P19" s="112">
        <v>79052530.04000008</v>
      </c>
      <c r="Q19" s="31">
        <f t="shared" si="5"/>
        <v>78941930.04000008</v>
      </c>
      <c r="R19" s="29">
        <f t="shared" si="6"/>
        <v>412847553.3099993</v>
      </c>
      <c r="S19" s="30">
        <f t="shared" si="6"/>
        <v>771591700.3099993</v>
      </c>
      <c r="T19" s="30">
        <f t="shared" si="7"/>
        <v>358744147.00000006</v>
      </c>
      <c r="U19" s="188">
        <f>IF(R19=0,"",T19/R19)</f>
        <v>0.8689506432187234</v>
      </c>
      <c r="W19" s="63"/>
    </row>
    <row r="20" spans="2:23" ht="15">
      <c r="B20" s="62" t="s">
        <v>111</v>
      </c>
      <c r="C20" s="29">
        <f>+Egresos_1!F25</f>
        <v>48484945</v>
      </c>
      <c r="D20" s="30">
        <f>+Egresos_1!J25</f>
        <v>198939051</v>
      </c>
      <c r="E20" s="31">
        <f t="shared" si="1"/>
        <v>150454106</v>
      </c>
      <c r="F20" s="29">
        <v>40993240</v>
      </c>
      <c r="G20" s="30">
        <v>122228561.02</v>
      </c>
      <c r="H20" s="31">
        <f t="shared" si="2"/>
        <v>81235321.02</v>
      </c>
      <c r="I20" s="29">
        <v>2152067</v>
      </c>
      <c r="J20" s="30"/>
      <c r="K20" s="31">
        <f t="shared" si="3"/>
        <v>-2152067</v>
      </c>
      <c r="L20" s="110">
        <v>0</v>
      </c>
      <c r="M20" s="112">
        <v>0</v>
      </c>
      <c r="N20" s="31">
        <f t="shared" si="4"/>
        <v>0</v>
      </c>
      <c r="O20" s="110">
        <v>0</v>
      </c>
      <c r="P20" s="112">
        <v>0</v>
      </c>
      <c r="Q20" s="31">
        <f t="shared" si="5"/>
        <v>0</v>
      </c>
      <c r="R20" s="29">
        <f aca="true" t="shared" si="8" ref="R20:S22">+F20+I20+L20+O20</f>
        <v>43145307</v>
      </c>
      <c r="S20" s="30">
        <f t="shared" si="8"/>
        <v>122228561.02</v>
      </c>
      <c r="T20" s="30">
        <f>+S20-R20</f>
        <v>79083254.02</v>
      </c>
      <c r="U20" s="188">
        <f>IF(R20=0,"",T20/R20)</f>
        <v>1.832951473030427</v>
      </c>
      <c r="W20" s="63"/>
    </row>
    <row r="21" spans="2:23" ht="15">
      <c r="B21" s="62" t="s">
        <v>61</v>
      </c>
      <c r="C21" s="29">
        <f>+Egresos_1!F26</f>
        <v>68012197</v>
      </c>
      <c r="D21" s="30">
        <f>+Egresos_1!J26</f>
        <v>97353955</v>
      </c>
      <c r="E21" s="31">
        <f t="shared" si="1"/>
        <v>29341758</v>
      </c>
      <c r="F21" s="29">
        <v>31026012.729999997</v>
      </c>
      <c r="G21" s="30">
        <v>54170061.849999994</v>
      </c>
      <c r="H21" s="31">
        <f t="shared" si="2"/>
        <v>23144049.119999997</v>
      </c>
      <c r="I21" s="29">
        <v>2950918.91</v>
      </c>
      <c r="J21" s="30">
        <v>274793.83999999997</v>
      </c>
      <c r="K21" s="31">
        <f t="shared" si="3"/>
        <v>-2676125.0700000003</v>
      </c>
      <c r="L21" s="110">
        <v>0</v>
      </c>
      <c r="M21" s="112">
        <v>0</v>
      </c>
      <c r="N21" s="31">
        <f t="shared" si="4"/>
        <v>0</v>
      </c>
      <c r="O21" s="110">
        <v>0</v>
      </c>
      <c r="P21" s="112">
        <v>0</v>
      </c>
      <c r="Q21" s="31">
        <f t="shared" si="5"/>
        <v>0</v>
      </c>
      <c r="R21" s="29">
        <f t="shared" si="8"/>
        <v>33976931.64</v>
      </c>
      <c r="S21" s="30">
        <f t="shared" si="8"/>
        <v>54444855.69</v>
      </c>
      <c r="T21" s="30">
        <f t="shared" si="7"/>
        <v>20467924.049999997</v>
      </c>
      <c r="U21" s="188">
        <f>IF(R21=0,"",T21/R21)</f>
        <v>0.6024064876389172</v>
      </c>
      <c r="W21" s="63"/>
    </row>
    <row r="22" spans="2:23" ht="15">
      <c r="B22" s="62"/>
      <c r="C22" s="29"/>
      <c r="D22" s="30"/>
      <c r="E22" s="31">
        <f t="shared" si="1"/>
        <v>0</v>
      </c>
      <c r="F22" s="29"/>
      <c r="G22" s="30"/>
      <c r="H22" s="31">
        <f t="shared" si="2"/>
        <v>0</v>
      </c>
      <c r="I22" s="29"/>
      <c r="J22" s="30"/>
      <c r="K22" s="31">
        <f t="shared" si="3"/>
        <v>0</v>
      </c>
      <c r="L22" s="110"/>
      <c r="M22" s="112"/>
      <c r="N22" s="31">
        <f t="shared" si="4"/>
        <v>0</v>
      </c>
      <c r="O22" s="110"/>
      <c r="P22" s="112"/>
      <c r="Q22" s="31">
        <f t="shared" si="5"/>
        <v>0</v>
      </c>
      <c r="R22" s="29">
        <f t="shared" si="8"/>
        <v>0</v>
      </c>
      <c r="S22" s="30">
        <f t="shared" si="8"/>
        <v>0</v>
      </c>
      <c r="T22" s="30">
        <f t="shared" si="7"/>
        <v>0</v>
      </c>
      <c r="U22" s="188">
        <f>IF(R22=0,"",T22/R22)</f>
      </c>
      <c r="W22" s="63"/>
    </row>
    <row r="23" spans="2:21" ht="4.5" customHeight="1">
      <c r="B23" s="62"/>
      <c r="C23" s="29"/>
      <c r="D23" s="30"/>
      <c r="E23" s="31"/>
      <c r="F23" s="29"/>
      <c r="G23" s="30"/>
      <c r="H23" s="31"/>
      <c r="I23" s="29"/>
      <c r="J23" s="30"/>
      <c r="K23" s="31"/>
      <c r="L23" s="110"/>
      <c r="M23" s="112"/>
      <c r="N23" s="31"/>
      <c r="O23" s="110"/>
      <c r="P23" s="112"/>
      <c r="Q23" s="31"/>
      <c r="R23" s="29"/>
      <c r="S23" s="30"/>
      <c r="T23" s="30"/>
      <c r="U23" s="188">
        <f t="shared" si="0"/>
      </c>
    </row>
    <row r="24" spans="2:22" ht="15">
      <c r="B24" s="96" t="s">
        <v>16</v>
      </c>
      <c r="C24" s="24">
        <f>+C26+C27</f>
        <v>311132423</v>
      </c>
      <c r="D24" s="27">
        <f>+D26+D27</f>
        <v>401328670</v>
      </c>
      <c r="E24" s="26">
        <f>+D24-C24</f>
        <v>90196247</v>
      </c>
      <c r="F24" s="24">
        <f>+F26+F27</f>
        <v>50113179.45999999</v>
      </c>
      <c r="G24" s="27">
        <f>+G26+G27</f>
        <v>45641936.55</v>
      </c>
      <c r="H24" s="26">
        <f>+G24-F24</f>
        <v>-4471242.909999996</v>
      </c>
      <c r="I24" s="24">
        <f>+I26+I27</f>
        <v>5942659.54</v>
      </c>
      <c r="J24" s="27">
        <f>+J26+J27</f>
        <v>1150673.7300000002</v>
      </c>
      <c r="K24" s="28">
        <f>+J24-I24</f>
        <v>-4791985.81</v>
      </c>
      <c r="L24" s="24">
        <f>+L26+L27</f>
        <v>0</v>
      </c>
      <c r="M24" s="27">
        <f>+M26+M27</f>
        <v>1964186.12</v>
      </c>
      <c r="N24" s="28">
        <f>+M24-L24</f>
        <v>1964186.12</v>
      </c>
      <c r="O24" s="24">
        <f>+O26+O27</f>
        <v>15412.5</v>
      </c>
      <c r="P24" s="27">
        <f>+P26+P27</f>
        <v>912456.55</v>
      </c>
      <c r="Q24" s="26">
        <f>+P24-O24</f>
        <v>897044.05</v>
      </c>
      <c r="R24" s="24">
        <f>+R26+R27</f>
        <v>56071251.49999999</v>
      </c>
      <c r="S24" s="27">
        <f>+S26+S27</f>
        <v>49669252.94999999</v>
      </c>
      <c r="T24" s="25">
        <f>+S24-R24</f>
        <v>-6401998.5500000045</v>
      </c>
      <c r="U24" s="189">
        <f t="shared" si="0"/>
        <v>-0.11417613088232934</v>
      </c>
      <c r="V24" s="64"/>
    </row>
    <row r="25" spans="2:22" ht="4.5" customHeight="1">
      <c r="B25" s="62"/>
      <c r="C25" s="29"/>
      <c r="D25" s="30"/>
      <c r="E25" s="31"/>
      <c r="F25" s="29"/>
      <c r="G25" s="30"/>
      <c r="H25" s="31"/>
      <c r="I25" s="29"/>
      <c r="J25" s="30"/>
      <c r="K25" s="31"/>
      <c r="L25" s="110"/>
      <c r="M25" s="112"/>
      <c r="N25" s="31"/>
      <c r="O25" s="110"/>
      <c r="P25" s="112"/>
      <c r="Q25" s="31"/>
      <c r="R25" s="29"/>
      <c r="S25" s="30"/>
      <c r="T25" s="30"/>
      <c r="U25" s="188">
        <f t="shared" si="0"/>
      </c>
      <c r="V25" s="64"/>
    </row>
    <row r="26" spans="2:22" ht="15">
      <c r="B26" s="62" t="s">
        <v>111</v>
      </c>
      <c r="C26" s="29">
        <f>+Egresos_1!F28</f>
        <v>152884036</v>
      </c>
      <c r="D26" s="30">
        <f>+Egresos_1!J28</f>
        <v>219167</v>
      </c>
      <c r="E26" s="31">
        <f>+D26-C26</f>
        <v>-152664869</v>
      </c>
      <c r="F26" s="29">
        <v>6219688</v>
      </c>
      <c r="G26" s="30">
        <v>126000</v>
      </c>
      <c r="H26" s="31">
        <f>+G26-F26</f>
        <v>-6093688</v>
      </c>
      <c r="I26" s="110">
        <v>940000</v>
      </c>
      <c r="J26" s="30"/>
      <c r="K26" s="31">
        <f>+J26-I26</f>
        <v>-940000</v>
      </c>
      <c r="L26" s="110">
        <v>0</v>
      </c>
      <c r="M26" s="112">
        <v>0</v>
      </c>
      <c r="N26" s="31">
        <f>+M26-L26</f>
        <v>0</v>
      </c>
      <c r="O26" s="110">
        <v>0</v>
      </c>
      <c r="P26" s="112">
        <v>0</v>
      </c>
      <c r="Q26" s="31">
        <f>+P26-O26</f>
        <v>0</v>
      </c>
      <c r="R26" s="29">
        <f aca="true" t="shared" si="9" ref="R26:S29">+F26+I26+L26+O26</f>
        <v>7159688</v>
      </c>
      <c r="S26" s="150">
        <f t="shared" si="9"/>
        <v>126000</v>
      </c>
      <c r="T26" s="30">
        <f>+S26-R26</f>
        <v>-7033688</v>
      </c>
      <c r="U26" s="188">
        <f t="shared" si="0"/>
        <v>-0.982401467773456</v>
      </c>
      <c r="V26" s="64"/>
    </row>
    <row r="27" spans="1:23" ht="15">
      <c r="A27" s="65"/>
      <c r="B27" s="152" t="s">
        <v>39</v>
      </c>
      <c r="C27" s="153">
        <f>+C28+C29</f>
        <v>158248387</v>
      </c>
      <c r="D27" s="154">
        <f>+D28+D29</f>
        <v>401109503</v>
      </c>
      <c r="E27" s="155">
        <f>+D27-C27</f>
        <v>242861116</v>
      </c>
      <c r="F27" s="153">
        <f>+F28+F29</f>
        <v>43893491.45999999</v>
      </c>
      <c r="G27" s="154">
        <f>+G28+G29</f>
        <v>45515936.55</v>
      </c>
      <c r="H27" s="155">
        <f>+G27-F27</f>
        <v>1622445.0900000036</v>
      </c>
      <c r="I27" s="153">
        <f>+I28+I29</f>
        <v>5002659.54</v>
      </c>
      <c r="J27" s="154">
        <f>+J28+J29</f>
        <v>1150673.7300000002</v>
      </c>
      <c r="K27" s="155">
        <f>+J27-I27</f>
        <v>-3851985.8099999996</v>
      </c>
      <c r="L27" s="153">
        <f>+L28+L29</f>
        <v>0</v>
      </c>
      <c r="M27" s="154">
        <f>+M28+M29</f>
        <v>1964186.12</v>
      </c>
      <c r="N27" s="155">
        <f>+M27-L27</f>
        <v>1964186.12</v>
      </c>
      <c r="O27" s="153">
        <f>+O28+O29</f>
        <v>15412.5</v>
      </c>
      <c r="P27" s="154">
        <f>+P28+P29</f>
        <v>912456.55</v>
      </c>
      <c r="Q27" s="155">
        <f>+P27-O27</f>
        <v>897044.05</v>
      </c>
      <c r="R27" s="153">
        <f t="shared" si="9"/>
        <v>48911563.49999999</v>
      </c>
      <c r="S27" s="154">
        <f t="shared" si="9"/>
        <v>49543252.94999999</v>
      </c>
      <c r="T27" s="154">
        <f>+S27-R27</f>
        <v>631689.4499999955</v>
      </c>
      <c r="U27" s="190">
        <f t="shared" si="0"/>
        <v>0.012914930638027868</v>
      </c>
      <c r="W27" s="63"/>
    </row>
    <row r="28" spans="2:23" ht="15">
      <c r="B28" s="38" t="s">
        <v>57</v>
      </c>
      <c r="C28" s="29">
        <f>+Egresos_1!F31</f>
        <v>124456075</v>
      </c>
      <c r="D28" s="30">
        <f>+Egresos_1!J31</f>
        <v>277675736</v>
      </c>
      <c r="E28" s="31">
        <f>+D28-C28</f>
        <v>153219661</v>
      </c>
      <c r="F28" s="29">
        <v>36664614.25999999</v>
      </c>
      <c r="G28" s="39">
        <v>37481006.62</v>
      </c>
      <c r="H28" s="31">
        <f>+G28-F28</f>
        <v>816392.3600000069</v>
      </c>
      <c r="I28" s="110">
        <v>15412.5</v>
      </c>
      <c r="J28" s="111">
        <v>0</v>
      </c>
      <c r="K28" s="31">
        <f>+J28-I28</f>
        <v>-15412.5</v>
      </c>
      <c r="L28" s="110">
        <v>0</v>
      </c>
      <c r="M28" s="111">
        <v>1964186.12</v>
      </c>
      <c r="N28" s="31">
        <f>+M28-L28</f>
        <v>1964186.12</v>
      </c>
      <c r="O28" s="110">
        <v>15412.5</v>
      </c>
      <c r="P28" s="111">
        <v>0</v>
      </c>
      <c r="Q28" s="31">
        <f>+P28-O28</f>
        <v>-15412.5</v>
      </c>
      <c r="R28" s="29">
        <f t="shared" si="9"/>
        <v>36695439.25999999</v>
      </c>
      <c r="S28" s="30">
        <f t="shared" si="9"/>
        <v>39445192.739999995</v>
      </c>
      <c r="T28" s="30">
        <f>+S28-R28</f>
        <v>2749753.480000004</v>
      </c>
      <c r="U28" s="188">
        <f t="shared" si="0"/>
        <v>0.0749344751132979</v>
      </c>
      <c r="W28" s="63"/>
    </row>
    <row r="29" spans="2:23" ht="15">
      <c r="B29" s="42" t="s">
        <v>58</v>
      </c>
      <c r="C29" s="29">
        <f>+Egresos_1!F32</f>
        <v>33792312</v>
      </c>
      <c r="D29" s="39">
        <f>+Egresos_1!J32</f>
        <v>123433767</v>
      </c>
      <c r="E29" s="31">
        <f>+D29-C29</f>
        <v>89641455</v>
      </c>
      <c r="F29" s="29">
        <v>7228877.2</v>
      </c>
      <c r="G29" s="43">
        <v>8034929.93</v>
      </c>
      <c r="H29" s="31">
        <f>+G29-F29</f>
        <v>806052.7299999995</v>
      </c>
      <c r="I29" s="29">
        <v>4987247.04</v>
      </c>
      <c r="J29" s="43">
        <v>1150673.7300000002</v>
      </c>
      <c r="K29" s="31">
        <f>+J29-I29</f>
        <v>-3836573.3099999996</v>
      </c>
      <c r="L29" s="110">
        <v>0</v>
      </c>
      <c r="M29" s="113">
        <v>0</v>
      </c>
      <c r="N29" s="31">
        <f>+M29-L29</f>
        <v>0</v>
      </c>
      <c r="O29" s="110">
        <v>0</v>
      </c>
      <c r="P29" s="113">
        <v>912456.55</v>
      </c>
      <c r="Q29" s="31">
        <f>+P29-O29</f>
        <v>912456.55</v>
      </c>
      <c r="R29" s="29">
        <f t="shared" si="9"/>
        <v>12216124.24</v>
      </c>
      <c r="S29" s="30">
        <f t="shared" si="9"/>
        <v>10098060.21</v>
      </c>
      <c r="T29" s="30">
        <f>+S29-R29</f>
        <v>-2118064.0299999993</v>
      </c>
      <c r="U29" s="188">
        <f t="shared" si="0"/>
        <v>-0.17338265299109296</v>
      </c>
      <c r="W29" s="63"/>
    </row>
    <row r="30" spans="2:23" ht="15.75" thickBot="1">
      <c r="B30" s="62"/>
      <c r="C30" s="29"/>
      <c r="D30" s="30"/>
      <c r="E30" s="31"/>
      <c r="F30" s="29"/>
      <c r="G30" s="30"/>
      <c r="H30" s="31"/>
      <c r="I30" s="29"/>
      <c r="J30" s="30"/>
      <c r="K30" s="31"/>
      <c r="L30" s="29"/>
      <c r="M30" s="30"/>
      <c r="N30" s="31"/>
      <c r="O30" s="29"/>
      <c r="P30" s="30"/>
      <c r="Q30" s="31"/>
      <c r="R30" s="29"/>
      <c r="S30" s="30"/>
      <c r="T30" s="30"/>
      <c r="U30" s="188"/>
      <c r="W30" s="66"/>
    </row>
    <row r="31" spans="2:21" ht="15.75" thickBot="1">
      <c r="B31" s="81" t="s">
        <v>17</v>
      </c>
      <c r="C31" s="76">
        <f>+C15+C24</f>
        <v>1958463768</v>
      </c>
      <c r="D31" s="76">
        <f>+D15+D24</f>
        <v>5450900870</v>
      </c>
      <c r="E31" s="77">
        <f>+D31-C31</f>
        <v>3492437102</v>
      </c>
      <c r="F31" s="76">
        <f>+F15+F24</f>
        <v>797720777.5399992</v>
      </c>
      <c r="G31" s="78">
        <f>+G15+G24</f>
        <v>1674539668.399998</v>
      </c>
      <c r="H31" s="77">
        <f>+G31-F31</f>
        <v>876818890.8599987</v>
      </c>
      <c r="I31" s="76">
        <f>+I15+I24</f>
        <v>51542044.50000001</v>
      </c>
      <c r="J31" s="79">
        <f>+J15+J24</f>
        <v>70622568.43999995</v>
      </c>
      <c r="K31" s="77">
        <f>+J31-I31</f>
        <v>19080523.939999945</v>
      </c>
      <c r="L31" s="76">
        <f>+L15+L24</f>
        <v>0</v>
      </c>
      <c r="M31" s="79">
        <f>+M15+M24</f>
        <v>1964186.12</v>
      </c>
      <c r="N31" s="80">
        <f>+M31-L31</f>
        <v>1964186.12</v>
      </c>
      <c r="O31" s="76">
        <f>+O15+O24</f>
        <v>126012.5</v>
      </c>
      <c r="P31" s="78">
        <f>+P15+P24</f>
        <v>79964986.59000008</v>
      </c>
      <c r="Q31" s="77">
        <f>+P31-O31</f>
        <v>79838974.09000008</v>
      </c>
      <c r="R31" s="76">
        <f>+R15+R24</f>
        <v>849388834.5399992</v>
      </c>
      <c r="S31" s="78">
        <f>+S15+S24</f>
        <v>1827091409.549998</v>
      </c>
      <c r="T31" s="78">
        <f>+S31-R31</f>
        <v>977702575.0099988</v>
      </c>
      <c r="U31" s="191">
        <f>IF(R31=0,"",T31/R31)</f>
        <v>1.151065960902924</v>
      </c>
    </row>
    <row r="32" spans="2:21" ht="15">
      <c r="B32" s="108" t="s">
        <v>148</v>
      </c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192"/>
    </row>
    <row r="33" spans="2:21" ht="15">
      <c r="B33" s="107" t="s">
        <v>106</v>
      </c>
      <c r="F33" s="109"/>
      <c r="G33" s="106"/>
      <c r="H33" s="106"/>
      <c r="I33" s="109"/>
      <c r="J33" s="106"/>
      <c r="K33" s="106"/>
      <c r="L33" s="109"/>
      <c r="M33" s="106"/>
      <c r="N33" s="106"/>
      <c r="O33" s="109"/>
      <c r="P33" s="106"/>
      <c r="Q33" s="106"/>
      <c r="R33" s="109"/>
      <c r="S33" s="106"/>
      <c r="T33" s="106"/>
      <c r="U33" s="192"/>
    </row>
    <row r="34" spans="2:18" ht="15" customHeight="1">
      <c r="B34" s="235" t="s">
        <v>101</v>
      </c>
      <c r="C34" s="235"/>
      <c r="D34" s="235"/>
      <c r="E34" s="235"/>
      <c r="F34" s="235"/>
      <c r="G34" s="235"/>
      <c r="H34" s="235"/>
      <c r="I34" s="85"/>
      <c r="J34" s="85"/>
      <c r="K34" s="85"/>
      <c r="L34" s="85"/>
      <c r="M34" s="85"/>
      <c r="N34" s="85"/>
      <c r="O34" s="85"/>
      <c r="P34" s="85"/>
      <c r="Q34" s="85"/>
      <c r="R34" s="109"/>
    </row>
    <row r="35" spans="2:15" ht="15">
      <c r="B35" s="17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6:16" ht="15"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</sheetData>
  <sheetProtection/>
  <mergeCells count="14">
    <mergeCell ref="B5:U5"/>
    <mergeCell ref="B6:U6"/>
    <mergeCell ref="B3:U3"/>
    <mergeCell ref="B4:U4"/>
    <mergeCell ref="C11:E11"/>
    <mergeCell ref="F11:U11"/>
    <mergeCell ref="B34:H34"/>
    <mergeCell ref="B12:B13"/>
    <mergeCell ref="R12:U12"/>
    <mergeCell ref="O12:Q12"/>
    <mergeCell ref="C12:E12"/>
    <mergeCell ref="F12:H12"/>
    <mergeCell ref="I12:K12"/>
    <mergeCell ref="L12:N12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N24 N15 N31 Q15:Q16 H15:H16 H23:H25 H30:H31 Q23:Q24 E24 E31 E15 K24 K31 Q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31"/>
  <sheetViews>
    <sheetView showGridLines="0" zoomScalePageLayoutView="0" workbookViewId="0" topLeftCell="A1">
      <selection activeCell="M24" sqref="M24"/>
    </sheetView>
  </sheetViews>
  <sheetFormatPr defaultColWidth="16.57421875" defaultRowHeight="12.75"/>
  <cols>
    <col min="1" max="1" width="2.57421875" style="10" customWidth="1"/>
    <col min="2" max="2" width="5.7109375" style="10" customWidth="1"/>
    <col min="3" max="3" width="43.8515625" style="10" customWidth="1"/>
    <col min="4" max="4" width="0.85546875" style="46" customWidth="1"/>
    <col min="5" max="5" width="10.7109375" style="10" customWidth="1"/>
    <col min="6" max="6" width="10.7109375" style="10" bestFit="1" customWidth="1"/>
    <col min="7" max="7" width="12.00390625" style="198" bestFit="1" customWidth="1"/>
    <col min="8" max="8" width="10.7109375" style="10" customWidth="1"/>
    <col min="9" max="9" width="10.8515625" style="10" bestFit="1" customWidth="1"/>
    <col min="10" max="10" width="12.00390625" style="198" customWidth="1"/>
    <col min="11" max="12" width="10.00390625" style="10" customWidth="1"/>
    <col min="13" max="13" width="10.421875" style="198" customWidth="1"/>
    <col min="14" max="14" width="10.421875" style="10" bestFit="1" customWidth="1"/>
    <col min="15" max="15" width="10.57421875" style="10" customWidth="1"/>
    <col min="16" max="16" width="10.7109375" style="198" bestFit="1" customWidth="1"/>
    <col min="17" max="17" width="10.140625" style="10" bestFit="1" customWidth="1"/>
    <col min="18" max="18" width="10.57421875" style="10" customWidth="1"/>
    <col min="19" max="19" width="10.7109375" style="198" bestFit="1" customWidth="1"/>
    <col min="20" max="21" width="10.8515625" style="10" bestFit="1" customWidth="1"/>
    <col min="22" max="22" width="11.421875" style="198" bestFit="1" customWidth="1"/>
    <col min="23" max="23" width="8.00390625" style="198" customWidth="1"/>
    <col min="24" max="16384" width="16.57421875" style="10" customWidth="1"/>
  </cols>
  <sheetData>
    <row r="2" spans="3:23" ht="14.25">
      <c r="C2" s="258" t="s">
        <v>152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3:24" ht="12.75">
      <c r="C3" s="259" t="s">
        <v>18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11"/>
    </row>
    <row r="4" spans="3:24" ht="15.75">
      <c r="C4" s="260" t="s">
        <v>120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4"/>
    </row>
    <row r="5" spans="3:23" ht="12.75">
      <c r="C5" s="12" t="s">
        <v>23</v>
      </c>
      <c r="D5" s="12"/>
      <c r="E5" s="12"/>
      <c r="F5" s="12"/>
      <c r="G5" s="12"/>
      <c r="H5" s="12"/>
      <c r="I5" s="13"/>
      <c r="J5" s="200"/>
      <c r="K5" s="13"/>
      <c r="L5" s="13"/>
      <c r="M5" s="200"/>
      <c r="N5" s="13"/>
      <c r="O5" s="13"/>
      <c r="P5" s="200"/>
      <c r="Q5" s="13"/>
      <c r="R5" s="13"/>
      <c r="S5" s="200"/>
      <c r="T5" s="13"/>
      <c r="U5" s="13"/>
      <c r="V5" s="200"/>
      <c r="W5" s="200"/>
    </row>
    <row r="6" spans="3:23" ht="12.75">
      <c r="C6" s="12" t="s">
        <v>25</v>
      </c>
      <c r="D6" s="12"/>
      <c r="E6" s="14"/>
      <c r="F6" s="14"/>
      <c r="G6" s="195"/>
      <c r="H6" s="15"/>
      <c r="I6" s="15"/>
      <c r="J6" s="201"/>
      <c r="K6" s="15"/>
      <c r="L6" s="15"/>
      <c r="M6" s="201"/>
      <c r="N6" s="15"/>
      <c r="O6" s="15"/>
      <c r="P6" s="201"/>
      <c r="Q6" s="15"/>
      <c r="R6" s="15"/>
      <c r="S6" s="201"/>
      <c r="T6" s="15"/>
      <c r="U6" s="15"/>
      <c r="V6" s="201"/>
      <c r="W6" s="201"/>
    </row>
    <row r="7" spans="3:23" ht="13.5" thickBot="1">
      <c r="C7" s="12"/>
      <c r="D7" s="12"/>
      <c r="E7" s="14"/>
      <c r="F7" s="14"/>
      <c r="G7" s="195"/>
      <c r="H7" s="15"/>
      <c r="I7" s="15"/>
      <c r="J7" s="201"/>
      <c r="K7" s="15"/>
      <c r="L7" s="15"/>
      <c r="M7" s="201"/>
      <c r="N7" s="15"/>
      <c r="O7" s="15"/>
      <c r="P7" s="201"/>
      <c r="Q7" s="15"/>
      <c r="R7" s="15"/>
      <c r="S7" s="201"/>
      <c r="T7" s="15"/>
      <c r="U7" s="15"/>
      <c r="V7" s="201"/>
      <c r="W7" s="201"/>
    </row>
    <row r="8" spans="2:23" ht="15.75" customHeight="1" thickBot="1">
      <c r="B8" s="255" t="s">
        <v>60</v>
      </c>
      <c r="C8" s="255" t="s">
        <v>127</v>
      </c>
      <c r="D8" s="12"/>
      <c r="E8" s="250" t="s">
        <v>26</v>
      </c>
      <c r="F8" s="251"/>
      <c r="G8" s="252"/>
      <c r="H8" s="250" t="s">
        <v>153</v>
      </c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2"/>
    </row>
    <row r="9" spans="2:23" ht="16.5" customHeight="1">
      <c r="B9" s="256"/>
      <c r="C9" s="256"/>
      <c r="D9" s="23"/>
      <c r="E9" s="261" t="s">
        <v>59</v>
      </c>
      <c r="F9" s="262"/>
      <c r="G9" s="263"/>
      <c r="H9" s="241" t="s">
        <v>19</v>
      </c>
      <c r="I9" s="242"/>
      <c r="J9" s="243"/>
      <c r="K9" s="241" t="s">
        <v>128</v>
      </c>
      <c r="L9" s="242"/>
      <c r="M9" s="243"/>
      <c r="N9" s="241" t="s">
        <v>20</v>
      </c>
      <c r="O9" s="242"/>
      <c r="P9" s="243"/>
      <c r="Q9" s="241" t="s">
        <v>107</v>
      </c>
      <c r="R9" s="242"/>
      <c r="S9" s="243"/>
      <c r="T9" s="241" t="s">
        <v>4</v>
      </c>
      <c r="U9" s="242"/>
      <c r="V9" s="242"/>
      <c r="W9" s="243"/>
    </row>
    <row r="10" spans="2:23" ht="17.25" customHeight="1" thickBot="1">
      <c r="B10" s="257"/>
      <c r="C10" s="257"/>
      <c r="D10" s="22"/>
      <c r="E10" s="94">
        <v>2016</v>
      </c>
      <c r="F10" s="117">
        <v>2017</v>
      </c>
      <c r="G10" s="95" t="s">
        <v>13</v>
      </c>
      <c r="H10" s="94">
        <v>2016</v>
      </c>
      <c r="I10" s="117">
        <v>2017</v>
      </c>
      <c r="J10" s="95" t="s">
        <v>13</v>
      </c>
      <c r="K10" s="94">
        <v>2016</v>
      </c>
      <c r="L10" s="117">
        <v>2017</v>
      </c>
      <c r="M10" s="95" t="s">
        <v>13</v>
      </c>
      <c r="N10" s="94">
        <v>2016</v>
      </c>
      <c r="O10" s="117">
        <v>2017</v>
      </c>
      <c r="P10" s="95" t="s">
        <v>13</v>
      </c>
      <c r="Q10" s="94">
        <v>2016</v>
      </c>
      <c r="R10" s="117">
        <v>2017</v>
      </c>
      <c r="S10" s="95" t="s">
        <v>13</v>
      </c>
      <c r="T10" s="94">
        <v>2016</v>
      </c>
      <c r="U10" s="117">
        <v>2017</v>
      </c>
      <c r="V10" s="117" t="s">
        <v>13</v>
      </c>
      <c r="W10" s="118" t="s">
        <v>14</v>
      </c>
    </row>
    <row r="11" spans="2:23" ht="4.5" customHeight="1">
      <c r="B11" s="87"/>
      <c r="C11" s="88"/>
      <c r="D11" s="45"/>
      <c r="E11" s="114"/>
      <c r="F11" s="115"/>
      <c r="G11" s="196"/>
      <c r="H11" s="45"/>
      <c r="I11" s="115"/>
      <c r="J11" s="196"/>
      <c r="K11" s="45"/>
      <c r="L11" s="115"/>
      <c r="M11" s="196"/>
      <c r="N11" s="45"/>
      <c r="O11" s="115"/>
      <c r="P11" s="196"/>
      <c r="Q11" s="45"/>
      <c r="R11" s="115"/>
      <c r="S11" s="202"/>
      <c r="T11" s="116"/>
      <c r="U11" s="115"/>
      <c r="V11" s="196"/>
      <c r="W11" s="203"/>
    </row>
    <row r="12" spans="2:25" ht="12.75" customHeight="1">
      <c r="B12" s="32"/>
      <c r="C12" s="53"/>
      <c r="D12" s="50"/>
      <c r="E12" s="89"/>
      <c r="F12" s="90"/>
      <c r="G12" s="197"/>
      <c r="H12" s="89"/>
      <c r="I12" s="90"/>
      <c r="J12" s="197"/>
      <c r="K12" s="89"/>
      <c r="L12" s="90"/>
      <c r="M12" s="197"/>
      <c r="N12" s="89"/>
      <c r="O12" s="90"/>
      <c r="P12" s="197"/>
      <c r="Q12" s="89"/>
      <c r="R12" s="90"/>
      <c r="S12" s="197"/>
      <c r="T12" s="89"/>
      <c r="U12" s="90"/>
      <c r="V12" s="197"/>
      <c r="W12" s="36"/>
      <c r="Y12" s="16"/>
    </row>
    <row r="13" spans="2:25" ht="12.75" customHeight="1">
      <c r="B13" s="32" t="s">
        <v>141</v>
      </c>
      <c r="C13" s="53" t="s">
        <v>142</v>
      </c>
      <c r="D13" s="50"/>
      <c r="E13" s="89">
        <v>0</v>
      </c>
      <c r="F13" s="90">
        <v>106430</v>
      </c>
      <c r="G13" s="58">
        <f>+F13-E13</f>
        <v>106430</v>
      </c>
      <c r="H13" s="89">
        <v>0</v>
      </c>
      <c r="I13" s="90">
        <v>0</v>
      </c>
      <c r="J13" s="58">
        <f>+I13-H13</f>
        <v>0</v>
      </c>
      <c r="K13" s="89">
        <v>0</v>
      </c>
      <c r="L13" s="90">
        <v>0</v>
      </c>
      <c r="M13" s="58">
        <f>+L13-K13</f>
        <v>0</v>
      </c>
      <c r="N13" s="89">
        <v>0</v>
      </c>
      <c r="O13" s="90">
        <v>0</v>
      </c>
      <c r="P13" s="58">
        <f>+O13-N13</f>
        <v>0</v>
      </c>
      <c r="Q13" s="89">
        <v>0</v>
      </c>
      <c r="R13" s="90">
        <v>0</v>
      </c>
      <c r="S13" s="58">
        <f>+R13-Q13</f>
        <v>0</v>
      </c>
      <c r="T13" s="89">
        <f>+H13+K13+N13+Q13</f>
        <v>0</v>
      </c>
      <c r="U13" s="90">
        <f>+I13+L13+O13+R13</f>
        <v>0</v>
      </c>
      <c r="V13" s="58">
        <f>+U13-T13</f>
        <v>0</v>
      </c>
      <c r="W13" s="36" t="str">
        <f>IF(T13=0," ",V13/T13)</f>
        <v> </v>
      </c>
      <c r="Y13" s="16"/>
    </row>
    <row r="14" spans="2:25" ht="12.75" customHeight="1">
      <c r="B14" s="32"/>
      <c r="C14" s="53"/>
      <c r="D14" s="50"/>
      <c r="E14" s="89"/>
      <c r="F14" s="90"/>
      <c r="G14" s="197"/>
      <c r="H14" s="89"/>
      <c r="I14" s="90"/>
      <c r="J14" s="197"/>
      <c r="K14" s="89"/>
      <c r="L14" s="90"/>
      <c r="M14" s="197"/>
      <c r="N14" s="89"/>
      <c r="O14" s="90"/>
      <c r="P14" s="197"/>
      <c r="Q14" s="89"/>
      <c r="R14" s="90"/>
      <c r="S14" s="197"/>
      <c r="T14" s="89"/>
      <c r="U14" s="90"/>
      <c r="V14" s="197"/>
      <c r="W14" s="36"/>
      <c r="Y14" s="16"/>
    </row>
    <row r="15" spans="2:25" ht="12.75" customHeight="1">
      <c r="B15" s="32" t="s">
        <v>41</v>
      </c>
      <c r="C15" s="53" t="s">
        <v>129</v>
      </c>
      <c r="D15" s="50"/>
      <c r="E15" s="89">
        <v>6974922</v>
      </c>
      <c r="F15" s="90">
        <v>50691046</v>
      </c>
      <c r="G15" s="58">
        <f aca="true" t="shared" si="0" ref="G15:G25">+F15-E15</f>
        <v>43716124</v>
      </c>
      <c r="H15" s="89">
        <f>940447+647102</f>
        <v>1587549</v>
      </c>
      <c r="I15" s="90">
        <f>2830909+16973363</f>
        <v>19804272</v>
      </c>
      <c r="J15" s="58">
        <f>+I15-H15</f>
        <v>18216723</v>
      </c>
      <c r="K15" s="89">
        <v>0</v>
      </c>
      <c r="L15" s="90">
        <v>0</v>
      </c>
      <c r="M15" s="58">
        <f>+L15-K15</f>
        <v>0</v>
      </c>
      <c r="N15" s="89">
        <v>0</v>
      </c>
      <c r="O15" s="90">
        <v>0</v>
      </c>
      <c r="P15" s="58">
        <f>+O15-N15</f>
        <v>0</v>
      </c>
      <c r="Q15" s="89">
        <v>0</v>
      </c>
      <c r="R15" s="90">
        <v>0</v>
      </c>
      <c r="S15" s="58">
        <f>+R15-Q15</f>
        <v>0</v>
      </c>
      <c r="T15" s="89">
        <f>+H15+K15+N15+Q15</f>
        <v>1587549</v>
      </c>
      <c r="U15" s="90">
        <f aca="true" t="shared" si="1" ref="U15:U25">+I15+L15+O15+R15</f>
        <v>19804272</v>
      </c>
      <c r="V15" s="58">
        <f aca="true" t="shared" si="2" ref="V15:V25">+U15-T15</f>
        <v>18216723</v>
      </c>
      <c r="W15" s="36">
        <f>IF(T15=0," ",V15/T15)</f>
        <v>11.474746921197394</v>
      </c>
      <c r="Y15" s="16"/>
    </row>
    <row r="16" spans="2:25" ht="12.75" customHeight="1">
      <c r="B16" s="32" t="s">
        <v>42</v>
      </c>
      <c r="C16" s="53" t="s">
        <v>130</v>
      </c>
      <c r="D16" s="50"/>
      <c r="E16" s="89">
        <v>47827873</v>
      </c>
      <c r="F16" s="90">
        <v>57006586</v>
      </c>
      <c r="G16" s="58">
        <f t="shared" si="0"/>
        <v>9178713</v>
      </c>
      <c r="H16" s="89">
        <f>11035523+13904252</f>
        <v>24939775</v>
      </c>
      <c r="I16" s="90">
        <f>15062181+15045055</f>
        <v>30107236</v>
      </c>
      <c r="J16" s="58">
        <f>+I16-H16</f>
        <v>5167461</v>
      </c>
      <c r="K16" s="89">
        <v>0</v>
      </c>
      <c r="L16" s="90">
        <v>0</v>
      </c>
      <c r="M16" s="58">
        <f>+L16-K16</f>
        <v>0</v>
      </c>
      <c r="N16" s="89">
        <v>0</v>
      </c>
      <c r="O16" s="90">
        <v>0</v>
      </c>
      <c r="P16" s="58">
        <f>+O16-N16</f>
        <v>0</v>
      </c>
      <c r="Q16" s="89"/>
      <c r="R16" s="90"/>
      <c r="S16" s="58">
        <f>+R16-Q16</f>
        <v>0</v>
      </c>
      <c r="T16" s="89">
        <f>+H16+K16+N16+Q16</f>
        <v>24939775</v>
      </c>
      <c r="U16" s="90">
        <f t="shared" si="1"/>
        <v>30107236</v>
      </c>
      <c r="V16" s="58">
        <f t="shared" si="2"/>
        <v>5167461</v>
      </c>
      <c r="W16" s="36">
        <f>IF(T16=0," ",V16/T16)</f>
        <v>0.20719757896773328</v>
      </c>
      <c r="Y16" s="16"/>
    </row>
    <row r="17" spans="2:25" ht="12.75" customHeight="1">
      <c r="B17" s="32" t="s">
        <v>43</v>
      </c>
      <c r="C17" s="53" t="s">
        <v>131</v>
      </c>
      <c r="D17" s="50"/>
      <c r="E17" s="89">
        <v>1162745</v>
      </c>
      <c r="F17" s="90">
        <v>140112467</v>
      </c>
      <c r="G17" s="58">
        <f t="shared" si="0"/>
        <v>138949722</v>
      </c>
      <c r="H17" s="89">
        <f>217755+210432</f>
        <v>428187</v>
      </c>
      <c r="I17" s="90">
        <f>6244299+44137001</f>
        <v>50381300</v>
      </c>
      <c r="J17" s="58">
        <f>+I17-H17</f>
        <v>49953113</v>
      </c>
      <c r="K17" s="89">
        <v>0</v>
      </c>
      <c r="L17" s="90">
        <v>0</v>
      </c>
      <c r="M17" s="58">
        <f>+L17-K17</f>
        <v>0</v>
      </c>
      <c r="N17" s="89">
        <v>0</v>
      </c>
      <c r="O17" s="90">
        <v>0</v>
      </c>
      <c r="P17" s="58">
        <f>+O17-N17</f>
        <v>0</v>
      </c>
      <c r="Q17" s="89">
        <v>0</v>
      </c>
      <c r="R17" s="90">
        <v>0</v>
      </c>
      <c r="S17" s="58">
        <f>+R17-Q17</f>
        <v>0</v>
      </c>
      <c r="T17" s="89">
        <f>+H17+K17+N17+Q17</f>
        <v>428187</v>
      </c>
      <c r="U17" s="90">
        <f t="shared" si="1"/>
        <v>50381300</v>
      </c>
      <c r="V17" s="58">
        <f t="shared" si="2"/>
        <v>49953113</v>
      </c>
      <c r="W17" s="36">
        <f>IF(T17=0," ",V17/T17)</f>
        <v>116.66190939939793</v>
      </c>
      <c r="Y17" s="16"/>
    </row>
    <row r="18" spans="2:25" ht="12.75" customHeight="1">
      <c r="B18" s="32"/>
      <c r="C18" s="53"/>
      <c r="D18" s="50"/>
      <c r="E18" s="89"/>
      <c r="F18" s="90"/>
      <c r="G18" s="58"/>
      <c r="H18" s="89"/>
      <c r="I18" s="90"/>
      <c r="J18" s="58"/>
      <c r="K18" s="89"/>
      <c r="L18" s="90"/>
      <c r="M18" s="58"/>
      <c r="N18" s="89"/>
      <c r="O18" s="90"/>
      <c r="P18" s="58"/>
      <c r="Q18" s="89"/>
      <c r="R18" s="90"/>
      <c r="S18" s="58"/>
      <c r="T18" s="89"/>
      <c r="U18" s="90"/>
      <c r="V18" s="58"/>
      <c r="W18" s="36"/>
      <c r="Y18" s="16"/>
    </row>
    <row r="19" spans="2:25" ht="12.75" customHeight="1">
      <c r="B19" s="34" t="s">
        <v>46</v>
      </c>
      <c r="C19" s="53" t="s">
        <v>132</v>
      </c>
      <c r="D19" s="50"/>
      <c r="E19" s="89">
        <v>84237</v>
      </c>
      <c r="F19" s="90">
        <v>402437213</v>
      </c>
      <c r="G19" s="58">
        <f>+F19-E19</f>
        <v>402352976</v>
      </c>
      <c r="H19" s="89">
        <v>0</v>
      </c>
      <c r="I19" s="90">
        <v>0</v>
      </c>
      <c r="J19" s="58">
        <f>+I19-H19</f>
        <v>0</v>
      </c>
      <c r="K19" s="89">
        <v>0</v>
      </c>
      <c r="L19" s="90">
        <v>0</v>
      </c>
      <c r="M19" s="58">
        <f>+L19-K19</f>
        <v>0</v>
      </c>
      <c r="N19" s="89">
        <v>0</v>
      </c>
      <c r="O19" s="90">
        <f>44853011+261268706</f>
        <v>306121717</v>
      </c>
      <c r="P19" s="58">
        <f>+O19-N19</f>
        <v>306121717</v>
      </c>
      <c r="Q19" s="89">
        <v>0</v>
      </c>
      <c r="R19" s="90">
        <v>0</v>
      </c>
      <c r="S19" s="58">
        <f>+R19-Q19</f>
        <v>0</v>
      </c>
      <c r="T19" s="89">
        <f>+H19+K19+N19+Q19</f>
        <v>0</v>
      </c>
      <c r="U19" s="90">
        <f>+I19+L19+O19+R19</f>
        <v>306121717</v>
      </c>
      <c r="V19" s="58">
        <f>+U19-T19</f>
        <v>306121717</v>
      </c>
      <c r="W19" s="36" t="str">
        <f>IF(T19=0," ",V19/T19)</f>
        <v> </v>
      </c>
      <c r="Y19" s="16"/>
    </row>
    <row r="20" spans="2:25" ht="12.75" customHeight="1">
      <c r="B20" s="32" t="s">
        <v>102</v>
      </c>
      <c r="C20" s="53" t="s">
        <v>133</v>
      </c>
      <c r="D20" s="50"/>
      <c r="E20" s="89">
        <v>0</v>
      </c>
      <c r="F20" s="90">
        <v>0</v>
      </c>
      <c r="G20" s="58">
        <f>+F20-E20</f>
        <v>0</v>
      </c>
      <c r="H20" s="89">
        <v>0</v>
      </c>
      <c r="I20" s="90">
        <v>0</v>
      </c>
      <c r="J20" s="58">
        <f>+I20-H20</f>
        <v>0</v>
      </c>
      <c r="K20" s="89">
        <v>0</v>
      </c>
      <c r="L20" s="90">
        <v>0</v>
      </c>
      <c r="M20" s="58">
        <f>+L20-K20</f>
        <v>0</v>
      </c>
      <c r="N20" s="89">
        <v>0</v>
      </c>
      <c r="O20" s="90">
        <v>0</v>
      </c>
      <c r="P20" s="58">
        <f>+O20-N20</f>
        <v>0</v>
      </c>
      <c r="Q20" s="89">
        <v>0</v>
      </c>
      <c r="R20" s="90">
        <v>0</v>
      </c>
      <c r="S20" s="58">
        <f>+R20-Q20</f>
        <v>0</v>
      </c>
      <c r="T20" s="89">
        <f>+H20+K20+N20+Q20</f>
        <v>0</v>
      </c>
      <c r="U20" s="90">
        <f>+I20+L20+O20+R20</f>
        <v>0</v>
      </c>
      <c r="V20" s="58">
        <f>+U20-T20</f>
        <v>0</v>
      </c>
      <c r="W20" s="36" t="str">
        <f>IF(T20=0," ",V20/T20)</f>
        <v> </v>
      </c>
      <c r="Y20" s="16"/>
    </row>
    <row r="21" spans="2:25" ht="12.75" customHeight="1">
      <c r="B21" s="32"/>
      <c r="C21" s="53"/>
      <c r="D21" s="50"/>
      <c r="E21" s="89"/>
      <c r="F21" s="90"/>
      <c r="G21" s="58"/>
      <c r="H21" s="89"/>
      <c r="I21" s="90"/>
      <c r="J21" s="58"/>
      <c r="K21" s="89"/>
      <c r="L21" s="90"/>
      <c r="M21" s="58"/>
      <c r="N21" s="89"/>
      <c r="O21" s="90"/>
      <c r="P21" s="58"/>
      <c r="Q21" s="89"/>
      <c r="R21" s="90"/>
      <c r="S21" s="58"/>
      <c r="T21" s="89"/>
      <c r="U21" s="90"/>
      <c r="V21" s="58"/>
      <c r="W21" s="36"/>
      <c r="Y21" s="16"/>
    </row>
    <row r="22" spans="2:25" ht="12.75" customHeight="1">
      <c r="B22" s="34" t="s">
        <v>52</v>
      </c>
      <c r="C22" s="53" t="s">
        <v>134</v>
      </c>
      <c r="D22" s="50"/>
      <c r="E22" s="89">
        <v>0</v>
      </c>
      <c r="F22" s="91">
        <v>84481</v>
      </c>
      <c r="G22" s="58">
        <f t="shared" si="0"/>
        <v>84481</v>
      </c>
      <c r="H22" s="89">
        <f>321355+216454</f>
        <v>537809</v>
      </c>
      <c r="I22" s="90">
        <f>144117+374241</f>
        <v>518358</v>
      </c>
      <c r="J22" s="58">
        <f>+I22-H22</f>
        <v>-19451</v>
      </c>
      <c r="K22" s="89">
        <f>4742-52</f>
        <v>4690</v>
      </c>
      <c r="L22" s="91">
        <v>0</v>
      </c>
      <c r="M22" s="58">
        <f>+L22-K22</f>
        <v>-4690</v>
      </c>
      <c r="N22" s="89">
        <f>-40245-52969</f>
        <v>-93214</v>
      </c>
      <c r="O22" s="91">
        <f>-3859+182</f>
        <v>-3677</v>
      </c>
      <c r="P22" s="58">
        <f>+O22-N22</f>
        <v>89537</v>
      </c>
      <c r="Q22" s="89">
        <v>0</v>
      </c>
      <c r="R22" s="91">
        <v>0</v>
      </c>
      <c r="S22" s="58">
        <f>+R22-Q22</f>
        <v>0</v>
      </c>
      <c r="T22" s="89">
        <f>+H22+K22+N22+Q22</f>
        <v>449285</v>
      </c>
      <c r="U22" s="91">
        <f t="shared" si="1"/>
        <v>514681</v>
      </c>
      <c r="V22" s="58">
        <f t="shared" si="2"/>
        <v>65396</v>
      </c>
      <c r="W22" s="36">
        <f>IF(T22=0," ",V22/T22)</f>
        <v>0.14555571630479539</v>
      </c>
      <c r="Y22" s="16"/>
    </row>
    <row r="23" spans="2:25" ht="12.75" customHeight="1">
      <c r="B23" s="32" t="s">
        <v>53</v>
      </c>
      <c r="C23" s="53" t="s">
        <v>135</v>
      </c>
      <c r="D23" s="50"/>
      <c r="E23" s="89">
        <v>13851914</v>
      </c>
      <c r="F23" s="90">
        <v>7917298</v>
      </c>
      <c r="G23" s="58">
        <f t="shared" si="0"/>
        <v>-5934616</v>
      </c>
      <c r="H23" s="89">
        <f>6847286+4473358</f>
        <v>11320644</v>
      </c>
      <c r="I23" s="90">
        <f>3204633+5518768</f>
        <v>8723401</v>
      </c>
      <c r="J23" s="58">
        <f>+I23-H23</f>
        <v>-2597243</v>
      </c>
      <c r="K23" s="89">
        <v>0</v>
      </c>
      <c r="L23" s="90">
        <v>0</v>
      </c>
      <c r="M23" s="58">
        <f>+L23-K23</f>
        <v>0</v>
      </c>
      <c r="N23" s="89">
        <v>0</v>
      </c>
      <c r="O23" s="90">
        <v>0</v>
      </c>
      <c r="P23" s="58">
        <f>+O23-N23</f>
        <v>0</v>
      </c>
      <c r="Q23" s="89">
        <v>0</v>
      </c>
      <c r="R23" s="90">
        <v>0</v>
      </c>
      <c r="S23" s="58">
        <f>+R23-Q23</f>
        <v>0</v>
      </c>
      <c r="T23" s="89">
        <f>+H23+K23+N23+Q23</f>
        <v>11320644</v>
      </c>
      <c r="U23" s="90">
        <f t="shared" si="1"/>
        <v>8723401</v>
      </c>
      <c r="V23" s="58">
        <f t="shared" si="2"/>
        <v>-2597243</v>
      </c>
      <c r="W23" s="36">
        <f>IF(T23=0," ",V23/T23)</f>
        <v>-0.22942537544683853</v>
      </c>
      <c r="Y23" s="16"/>
    </row>
    <row r="24" spans="2:25" ht="12.75" customHeight="1">
      <c r="B24" s="32" t="s">
        <v>54</v>
      </c>
      <c r="C24" s="53" t="s">
        <v>136</v>
      </c>
      <c r="D24" s="50"/>
      <c r="E24" s="89">
        <v>77340</v>
      </c>
      <c r="F24" s="90">
        <v>0</v>
      </c>
      <c r="G24" s="58">
        <f>+F24-E24</f>
        <v>-77340</v>
      </c>
      <c r="H24" s="89">
        <f>2216883+0</f>
        <v>2216883</v>
      </c>
      <c r="I24" s="90">
        <f>1011169</f>
        <v>1011169</v>
      </c>
      <c r="J24" s="58">
        <f>+I24-H24</f>
        <v>-1205714</v>
      </c>
      <c r="K24" s="89">
        <v>0</v>
      </c>
      <c r="L24" s="90">
        <v>0</v>
      </c>
      <c r="M24" s="58">
        <f>+L24-K24</f>
        <v>0</v>
      </c>
      <c r="N24" s="89">
        <v>0</v>
      </c>
      <c r="O24" s="90">
        <v>13600</v>
      </c>
      <c r="P24" s="58">
        <f>+O24-N24</f>
        <v>13600</v>
      </c>
      <c r="Q24" s="89">
        <v>0</v>
      </c>
      <c r="R24" s="90">
        <v>0</v>
      </c>
      <c r="S24" s="58">
        <f>+R24-Q24</f>
        <v>0</v>
      </c>
      <c r="T24" s="89">
        <f>+H24+K24+N24+Q24</f>
        <v>2216883</v>
      </c>
      <c r="U24" s="90">
        <f t="shared" si="1"/>
        <v>1024769</v>
      </c>
      <c r="V24" s="58">
        <f>+U24-T24</f>
        <v>-1192114</v>
      </c>
      <c r="W24" s="36">
        <f>IF(T24=0," ",V24/T24)</f>
        <v>-0.5377433089612758</v>
      </c>
      <c r="Y24" s="16"/>
    </row>
    <row r="25" spans="2:25" ht="12.75" customHeight="1">
      <c r="B25" s="34" t="s">
        <v>48</v>
      </c>
      <c r="C25" s="53" t="s">
        <v>137</v>
      </c>
      <c r="D25" s="50"/>
      <c r="E25" s="89">
        <v>0</v>
      </c>
      <c r="F25" s="90">
        <v>587635</v>
      </c>
      <c r="G25" s="58">
        <f t="shared" si="0"/>
        <v>587635</v>
      </c>
      <c r="H25" s="89">
        <v>979328</v>
      </c>
      <c r="I25" s="90">
        <v>2671086</v>
      </c>
      <c r="J25" s="58">
        <f>+I25-H25</f>
        <v>1691758</v>
      </c>
      <c r="K25" s="89">
        <v>0</v>
      </c>
      <c r="L25" s="90">
        <v>0</v>
      </c>
      <c r="M25" s="58">
        <f>+L25-K25</f>
        <v>0</v>
      </c>
      <c r="N25" s="89">
        <v>0</v>
      </c>
      <c r="O25" s="90">
        <v>0</v>
      </c>
      <c r="P25" s="58">
        <f>+O25-N25</f>
        <v>0</v>
      </c>
      <c r="Q25" s="89">
        <v>0</v>
      </c>
      <c r="R25" s="90">
        <v>0</v>
      </c>
      <c r="S25" s="58">
        <f>+R25-Q25</f>
        <v>0</v>
      </c>
      <c r="T25" s="89">
        <f>+H25+K25+N25+Q25</f>
        <v>979328</v>
      </c>
      <c r="U25" s="90">
        <f t="shared" si="1"/>
        <v>2671086</v>
      </c>
      <c r="V25" s="58">
        <f t="shared" si="2"/>
        <v>1691758</v>
      </c>
      <c r="W25" s="36">
        <f>IF(T25=0," ",V25/T25)</f>
        <v>1.7274682231080905</v>
      </c>
      <c r="Y25" s="16"/>
    </row>
    <row r="26" spans="2:25" ht="12.75" customHeight="1">
      <c r="B26" s="51"/>
      <c r="C26" s="54"/>
      <c r="D26" s="48"/>
      <c r="E26" s="92"/>
      <c r="F26" s="93"/>
      <c r="G26" s="58"/>
      <c r="H26" s="89"/>
      <c r="I26" s="90"/>
      <c r="J26" s="58"/>
      <c r="K26" s="92"/>
      <c r="L26" s="93"/>
      <c r="M26" s="58"/>
      <c r="N26" s="92"/>
      <c r="O26" s="93"/>
      <c r="P26" s="58"/>
      <c r="Q26" s="92"/>
      <c r="R26" s="93"/>
      <c r="S26" s="58"/>
      <c r="T26" s="92"/>
      <c r="U26" s="93"/>
      <c r="V26" s="58"/>
      <c r="W26" s="36"/>
      <c r="Y26" s="16"/>
    </row>
    <row r="27" spans="2:25" ht="12.75" customHeight="1">
      <c r="B27" s="34" t="s">
        <v>103</v>
      </c>
      <c r="C27" s="53" t="s">
        <v>138</v>
      </c>
      <c r="D27" s="50"/>
      <c r="E27" s="89">
        <v>0</v>
      </c>
      <c r="F27" s="90">
        <v>0</v>
      </c>
      <c r="G27" s="58">
        <f>+F27-E27</f>
        <v>0</v>
      </c>
      <c r="H27" s="89">
        <v>0</v>
      </c>
      <c r="I27" s="90">
        <v>0</v>
      </c>
      <c r="J27" s="58">
        <f>+I27-H27</f>
        <v>0</v>
      </c>
      <c r="K27" s="89">
        <v>0</v>
      </c>
      <c r="L27" s="90">
        <v>0</v>
      </c>
      <c r="M27" s="58">
        <f>+L27-K27</f>
        <v>0</v>
      </c>
      <c r="N27" s="89">
        <v>0</v>
      </c>
      <c r="O27" s="90">
        <v>0</v>
      </c>
      <c r="P27" s="58">
        <f>+O27-N27</f>
        <v>0</v>
      </c>
      <c r="Q27" s="89">
        <v>0</v>
      </c>
      <c r="R27" s="90">
        <v>0</v>
      </c>
      <c r="S27" s="58">
        <f>+R27-Q27</f>
        <v>0</v>
      </c>
      <c r="T27" s="89">
        <f>+H27+K27+N27+Q27</f>
        <v>0</v>
      </c>
      <c r="U27" s="90">
        <f>+I27+L27+O27+R27</f>
        <v>0</v>
      </c>
      <c r="V27" s="58">
        <f>+U27-T27</f>
        <v>0</v>
      </c>
      <c r="W27" s="36" t="str">
        <f>IF(T27=0," ",V27/T27)</f>
        <v> </v>
      </c>
      <c r="Y27" s="16"/>
    </row>
    <row r="28" spans="2:25" ht="12.75" customHeight="1">
      <c r="B28" s="52" t="s">
        <v>109</v>
      </c>
      <c r="C28" s="53" t="s">
        <v>139</v>
      </c>
      <c r="D28" s="48"/>
      <c r="E28" s="89">
        <v>136266933</v>
      </c>
      <c r="F28" s="90">
        <v>0</v>
      </c>
      <c r="G28" s="58">
        <f>+F28-E28</f>
        <v>-136266933</v>
      </c>
      <c r="H28" s="92">
        <v>0</v>
      </c>
      <c r="I28" s="93">
        <v>0</v>
      </c>
      <c r="J28" s="58">
        <f>+I28-H28</f>
        <v>0</v>
      </c>
      <c r="K28" s="92">
        <v>0</v>
      </c>
      <c r="L28" s="93">
        <v>0</v>
      </c>
      <c r="M28" s="58">
        <f>+L28-K28</f>
        <v>0</v>
      </c>
      <c r="N28" s="92">
        <v>0</v>
      </c>
      <c r="O28" s="93">
        <v>0</v>
      </c>
      <c r="P28" s="58">
        <f>+O28-N28</f>
        <v>0</v>
      </c>
      <c r="Q28" s="92">
        <v>0</v>
      </c>
      <c r="R28" s="93">
        <v>0</v>
      </c>
      <c r="S28" s="58">
        <f>+R28-Q28</f>
        <v>0</v>
      </c>
      <c r="T28" s="92">
        <f>+H28+K28+N28+Q28</f>
        <v>0</v>
      </c>
      <c r="U28" s="93">
        <f>+I28+L28+O28+R28</f>
        <v>0</v>
      </c>
      <c r="V28" s="58">
        <f>+U28-T28</f>
        <v>0</v>
      </c>
      <c r="W28" s="36" t="str">
        <f>IF(T28=0," ",V28/T28)</f>
        <v> </v>
      </c>
      <c r="Y28" s="16"/>
    </row>
    <row r="29" spans="2:25" ht="12.75" customHeight="1">
      <c r="B29" s="52"/>
      <c r="C29" s="53"/>
      <c r="D29" s="48"/>
      <c r="E29" s="89"/>
      <c r="F29" s="90"/>
      <c r="G29" s="58"/>
      <c r="H29" s="92"/>
      <c r="I29" s="93"/>
      <c r="J29" s="58"/>
      <c r="K29" s="92"/>
      <c r="L29" s="93"/>
      <c r="M29" s="58"/>
      <c r="N29" s="92"/>
      <c r="O29" s="93"/>
      <c r="P29" s="58"/>
      <c r="Q29" s="92"/>
      <c r="R29" s="93"/>
      <c r="S29" s="58"/>
      <c r="T29" s="92"/>
      <c r="U29" s="93"/>
      <c r="V29" s="58"/>
      <c r="W29" s="36"/>
      <c r="Y29" s="16"/>
    </row>
    <row r="30" spans="2:25" ht="12.75" customHeight="1">
      <c r="B30" s="34" t="s">
        <v>51</v>
      </c>
      <c r="C30" s="53" t="s">
        <v>140</v>
      </c>
      <c r="D30" s="50"/>
      <c r="E30" s="89">
        <v>41459550</v>
      </c>
      <c r="F30" s="90">
        <v>79740574</v>
      </c>
      <c r="G30" s="58">
        <f>+F30-E30</f>
        <v>38281024</v>
      </c>
      <c r="H30" s="89">
        <f>41448008+1177876</f>
        <v>42625884</v>
      </c>
      <c r="I30" s="90">
        <f>27552364+21773784</f>
        <v>49326148</v>
      </c>
      <c r="J30" s="58">
        <f>+I30-H30</f>
        <v>6700264</v>
      </c>
      <c r="K30" s="89">
        <f>150-4840</f>
        <v>-4690</v>
      </c>
      <c r="L30" s="90">
        <f>2353548+1184516</f>
        <v>3538064</v>
      </c>
      <c r="M30" s="58">
        <f>+L30-K30</f>
        <v>3542754</v>
      </c>
      <c r="N30" s="89">
        <f>4322207-479448</f>
        <v>3842759</v>
      </c>
      <c r="O30" s="90">
        <f>4204194+33305166</f>
        <v>37509360</v>
      </c>
      <c r="P30" s="58">
        <f>+O30-N30</f>
        <v>33666601</v>
      </c>
      <c r="Q30" s="119">
        <v>235568</v>
      </c>
      <c r="R30" s="90">
        <v>235568</v>
      </c>
      <c r="S30" s="58">
        <f>+R30-Q30</f>
        <v>0</v>
      </c>
      <c r="T30" s="89">
        <f>+H30+K30+N30+Q30</f>
        <v>46699521</v>
      </c>
      <c r="U30" s="90">
        <f>+I30+L30+O30+R30</f>
        <v>90609140</v>
      </c>
      <c r="V30" s="58">
        <f>+U30-T30</f>
        <v>43909619</v>
      </c>
      <c r="W30" s="36">
        <f>IF(T30=0," ",V30/T30)</f>
        <v>0.9402584450491472</v>
      </c>
      <c r="Y30" s="16"/>
    </row>
    <row r="31" spans="2:25" ht="12.75" customHeight="1">
      <c r="B31" s="52"/>
      <c r="C31" s="49"/>
      <c r="D31" s="50"/>
      <c r="E31" s="86"/>
      <c r="F31" s="57"/>
      <c r="G31" s="58"/>
      <c r="H31" s="33"/>
      <c r="I31" s="57"/>
      <c r="J31" s="58"/>
      <c r="K31" s="33"/>
      <c r="L31" s="57"/>
      <c r="M31" s="58"/>
      <c r="N31" s="33"/>
      <c r="O31" s="57"/>
      <c r="P31" s="58"/>
      <c r="Q31" s="33"/>
      <c r="R31" s="57"/>
      <c r="S31" s="58"/>
      <c r="T31" s="33"/>
      <c r="U31" s="57"/>
      <c r="V31" s="58"/>
      <c r="W31" s="204" t="str">
        <f>IF(T31=0," ",V31/T31)</f>
        <v> </v>
      </c>
      <c r="Y31" s="16"/>
    </row>
    <row r="32" spans="2:23" ht="20.25" customHeight="1" thickBot="1">
      <c r="B32" s="253" t="s">
        <v>4</v>
      </c>
      <c r="C32" s="254"/>
      <c r="D32" s="23"/>
      <c r="E32" s="83">
        <f>SUM(E13:E30)</f>
        <v>247705514</v>
      </c>
      <c r="F32" s="194">
        <f aca="true" t="shared" si="3" ref="F32:V32">SUM(F13:F30)</f>
        <v>738683730</v>
      </c>
      <c r="G32" s="60">
        <f t="shared" si="3"/>
        <v>490978216</v>
      </c>
      <c r="H32" s="83">
        <f t="shared" si="3"/>
        <v>84636059</v>
      </c>
      <c r="I32" s="59">
        <f t="shared" si="3"/>
        <v>162542970</v>
      </c>
      <c r="J32" s="60">
        <f t="shared" si="3"/>
        <v>77906911</v>
      </c>
      <c r="K32" s="83">
        <f t="shared" si="3"/>
        <v>0</v>
      </c>
      <c r="L32" s="59">
        <f t="shared" si="3"/>
        <v>3538064</v>
      </c>
      <c r="M32" s="60">
        <f t="shared" si="3"/>
        <v>3538064</v>
      </c>
      <c r="N32" s="83">
        <f t="shared" si="3"/>
        <v>3749545</v>
      </c>
      <c r="O32" s="59">
        <f t="shared" si="3"/>
        <v>343641000</v>
      </c>
      <c r="P32" s="60">
        <f t="shared" si="3"/>
        <v>339891455</v>
      </c>
      <c r="Q32" s="83">
        <f t="shared" si="3"/>
        <v>235568</v>
      </c>
      <c r="R32" s="59">
        <f t="shared" si="3"/>
        <v>235568</v>
      </c>
      <c r="S32" s="60">
        <f t="shared" si="3"/>
        <v>0</v>
      </c>
      <c r="T32" s="83">
        <f t="shared" si="3"/>
        <v>88621172</v>
      </c>
      <c r="U32" s="59">
        <f t="shared" si="3"/>
        <v>509957602</v>
      </c>
      <c r="V32" s="60">
        <f t="shared" si="3"/>
        <v>421336430</v>
      </c>
      <c r="W32" s="37">
        <f>IF(T32=0," ",V32/T32)</f>
        <v>4.754354072410598</v>
      </c>
    </row>
    <row r="33" spans="9:21" ht="3" customHeight="1">
      <c r="I33" s="44"/>
      <c r="O33" s="44"/>
      <c r="R33" s="44"/>
      <c r="T33" s="16"/>
      <c r="U33" s="16"/>
    </row>
    <row r="34" spans="2:21" ht="13.5">
      <c r="B34" s="108" t="s">
        <v>148</v>
      </c>
      <c r="D34" s="47"/>
      <c r="U34" s="16"/>
    </row>
    <row r="35" spans="4:23" s="1" customFormat="1" ht="11.25">
      <c r="D35" s="19"/>
      <c r="G35" s="84"/>
      <c r="I35" s="2"/>
      <c r="J35" s="84"/>
      <c r="M35" s="84"/>
      <c r="P35" s="84"/>
      <c r="Q35" s="264"/>
      <c r="S35" s="84"/>
      <c r="V35" s="84"/>
      <c r="W35" s="84"/>
    </row>
    <row r="36" spans="2:23" s="1" customFormat="1" ht="11.25">
      <c r="B36" s="205" t="s">
        <v>63</v>
      </c>
      <c r="D36" s="19"/>
      <c r="E36" s="2"/>
      <c r="F36" s="2"/>
      <c r="G36" s="199"/>
      <c r="H36" s="2"/>
      <c r="I36" s="2"/>
      <c r="J36" s="199"/>
      <c r="K36" s="2"/>
      <c r="L36" s="2"/>
      <c r="M36" s="199"/>
      <c r="N36" s="2"/>
      <c r="O36" s="2"/>
      <c r="P36" s="199"/>
      <c r="Q36" s="2"/>
      <c r="R36" s="2"/>
      <c r="S36" s="199"/>
      <c r="T36" s="2"/>
      <c r="U36" s="2"/>
      <c r="V36" s="199"/>
      <c r="W36" s="199"/>
    </row>
    <row r="37" spans="2:23" s="1" customFormat="1" ht="11.25">
      <c r="B37" s="55" t="s">
        <v>27</v>
      </c>
      <c r="C37" s="35" t="s">
        <v>40</v>
      </c>
      <c r="D37" s="21"/>
      <c r="G37" s="84"/>
      <c r="J37" s="84"/>
      <c r="M37" s="84"/>
      <c r="P37" s="84"/>
      <c r="S37" s="84"/>
      <c r="V37" s="84"/>
      <c r="W37" s="84"/>
    </row>
    <row r="38" spans="2:23" s="1" customFormat="1" ht="11.25">
      <c r="B38" s="56" t="s">
        <v>44</v>
      </c>
      <c r="C38" s="35" t="s">
        <v>45</v>
      </c>
      <c r="D38" s="21"/>
      <c r="G38" s="84"/>
      <c r="J38" s="84"/>
      <c r="M38" s="84"/>
      <c r="P38" s="84"/>
      <c r="S38" s="84"/>
      <c r="V38" s="84"/>
      <c r="W38" s="84"/>
    </row>
    <row r="39" spans="2:23" s="1" customFormat="1" ht="11.25">
      <c r="B39" s="56" t="s">
        <v>21</v>
      </c>
      <c r="C39" s="35" t="s">
        <v>47</v>
      </c>
      <c r="D39" s="21"/>
      <c r="G39" s="84"/>
      <c r="J39" s="84"/>
      <c r="M39" s="84"/>
      <c r="P39" s="84"/>
      <c r="S39" s="84"/>
      <c r="V39" s="84"/>
      <c r="W39" s="84"/>
    </row>
    <row r="40" spans="2:23" s="1" customFormat="1" ht="11.25">
      <c r="B40" s="84" t="s">
        <v>104</v>
      </c>
      <c r="C40" s="84" t="s">
        <v>105</v>
      </c>
      <c r="D40" s="21"/>
      <c r="G40" s="84"/>
      <c r="J40" s="84"/>
      <c r="M40" s="84"/>
      <c r="P40" s="84"/>
      <c r="S40" s="84"/>
      <c r="V40" s="84"/>
      <c r="W40" s="84"/>
    </row>
    <row r="41" spans="2:23" s="1" customFormat="1" ht="11.25">
      <c r="B41" s="56" t="s">
        <v>49</v>
      </c>
      <c r="C41" s="35" t="s">
        <v>50</v>
      </c>
      <c r="D41" s="19"/>
      <c r="G41" s="84"/>
      <c r="J41" s="84"/>
      <c r="M41" s="84"/>
      <c r="P41" s="84"/>
      <c r="S41" s="84"/>
      <c r="V41" s="84"/>
      <c r="W41" s="84"/>
    </row>
    <row r="42" spans="4:23" s="1" customFormat="1" ht="11.25">
      <c r="D42" s="19"/>
      <c r="G42" s="84"/>
      <c r="J42" s="84"/>
      <c r="M42" s="84"/>
      <c r="P42" s="84"/>
      <c r="S42" s="84"/>
      <c r="V42" s="84"/>
      <c r="W42" s="84"/>
    </row>
    <row r="43" spans="4:23" s="1" customFormat="1" ht="11.25">
      <c r="D43" s="19"/>
      <c r="G43" s="84"/>
      <c r="J43" s="84"/>
      <c r="M43" s="84"/>
      <c r="P43" s="84"/>
      <c r="S43" s="84"/>
      <c r="V43" s="84"/>
      <c r="W43" s="84"/>
    </row>
    <row r="44" spans="4:23" s="1" customFormat="1" ht="11.25">
      <c r="D44" s="19"/>
      <c r="G44" s="84"/>
      <c r="J44" s="84"/>
      <c r="M44" s="84"/>
      <c r="P44" s="84"/>
      <c r="S44" s="84"/>
      <c r="V44" s="84"/>
      <c r="W44" s="84"/>
    </row>
    <row r="45" spans="4:23" s="1" customFormat="1" ht="11.25">
      <c r="D45" s="19"/>
      <c r="G45" s="84"/>
      <c r="J45" s="84"/>
      <c r="M45" s="84"/>
      <c r="P45" s="84"/>
      <c r="S45" s="84"/>
      <c r="V45" s="84"/>
      <c r="W45" s="84"/>
    </row>
    <row r="46" spans="4:23" s="1" customFormat="1" ht="11.25">
      <c r="D46" s="19"/>
      <c r="G46" s="84"/>
      <c r="J46" s="84"/>
      <c r="M46" s="84"/>
      <c r="P46" s="84"/>
      <c r="S46" s="84"/>
      <c r="V46" s="84"/>
      <c r="W46" s="84"/>
    </row>
    <row r="47" spans="4:23" s="1" customFormat="1" ht="11.25">
      <c r="D47" s="19"/>
      <c r="G47" s="84"/>
      <c r="J47" s="84"/>
      <c r="M47" s="84"/>
      <c r="P47" s="84"/>
      <c r="S47" s="84"/>
      <c r="V47" s="84"/>
      <c r="W47" s="84"/>
    </row>
    <row r="48" spans="4:23" s="1" customFormat="1" ht="11.25">
      <c r="D48" s="19"/>
      <c r="G48" s="84"/>
      <c r="J48" s="84"/>
      <c r="M48" s="84"/>
      <c r="P48" s="84"/>
      <c r="S48" s="84"/>
      <c r="V48" s="84"/>
      <c r="W48" s="84"/>
    </row>
    <row r="49" spans="4:23" s="1" customFormat="1" ht="11.25">
      <c r="D49" s="19"/>
      <c r="G49" s="84"/>
      <c r="J49" s="84"/>
      <c r="M49" s="84"/>
      <c r="P49" s="84"/>
      <c r="S49" s="84"/>
      <c r="V49" s="84"/>
      <c r="W49" s="84"/>
    </row>
    <row r="50" spans="4:23" s="1" customFormat="1" ht="11.25">
      <c r="D50" s="19"/>
      <c r="G50" s="84"/>
      <c r="J50" s="84"/>
      <c r="M50" s="84"/>
      <c r="P50" s="84"/>
      <c r="S50" s="84"/>
      <c r="V50" s="84"/>
      <c r="W50" s="84"/>
    </row>
    <row r="51" spans="4:23" s="1" customFormat="1" ht="11.25">
      <c r="D51" s="19"/>
      <c r="G51" s="84"/>
      <c r="J51" s="84"/>
      <c r="M51" s="84"/>
      <c r="P51" s="84"/>
      <c r="S51" s="84"/>
      <c r="V51" s="84"/>
      <c r="W51" s="84"/>
    </row>
    <row r="52" spans="4:23" s="1" customFormat="1" ht="11.25">
      <c r="D52" s="19"/>
      <c r="G52" s="84"/>
      <c r="J52" s="84"/>
      <c r="M52" s="84"/>
      <c r="P52" s="84"/>
      <c r="S52" s="84"/>
      <c r="V52" s="84"/>
      <c r="W52" s="84"/>
    </row>
    <row r="53" spans="4:23" s="1" customFormat="1" ht="11.25">
      <c r="D53" s="19"/>
      <c r="G53" s="84"/>
      <c r="J53" s="84"/>
      <c r="M53" s="84"/>
      <c r="P53" s="84"/>
      <c r="S53" s="84"/>
      <c r="V53" s="84"/>
      <c r="W53" s="84"/>
    </row>
    <row r="54" spans="4:23" s="1" customFormat="1" ht="11.25">
      <c r="D54" s="19"/>
      <c r="G54" s="84"/>
      <c r="J54" s="84"/>
      <c r="M54" s="84"/>
      <c r="P54" s="84"/>
      <c r="S54" s="84"/>
      <c r="V54" s="84"/>
      <c r="W54" s="84"/>
    </row>
    <row r="55" spans="4:23" s="1" customFormat="1" ht="11.25">
      <c r="D55" s="19"/>
      <c r="G55" s="84"/>
      <c r="J55" s="84"/>
      <c r="M55" s="84"/>
      <c r="P55" s="84"/>
      <c r="S55" s="84"/>
      <c r="V55" s="84"/>
      <c r="W55" s="84"/>
    </row>
    <row r="56" spans="4:23" s="1" customFormat="1" ht="11.25">
      <c r="D56" s="19"/>
      <c r="G56" s="84"/>
      <c r="J56" s="84"/>
      <c r="M56" s="84"/>
      <c r="P56" s="84"/>
      <c r="S56" s="84"/>
      <c r="V56" s="84"/>
      <c r="W56" s="84"/>
    </row>
    <row r="57" spans="4:23" s="1" customFormat="1" ht="11.25">
      <c r="D57" s="19"/>
      <c r="G57" s="84"/>
      <c r="J57" s="84"/>
      <c r="M57" s="84"/>
      <c r="P57" s="84"/>
      <c r="S57" s="84"/>
      <c r="V57" s="84"/>
      <c r="W57" s="84"/>
    </row>
    <row r="58" spans="4:23" s="1" customFormat="1" ht="11.25">
      <c r="D58" s="19"/>
      <c r="G58" s="84"/>
      <c r="J58" s="84"/>
      <c r="M58" s="84"/>
      <c r="P58" s="84"/>
      <c r="S58" s="84"/>
      <c r="V58" s="84"/>
      <c r="W58" s="84"/>
    </row>
    <row r="59" spans="4:23" s="1" customFormat="1" ht="11.25">
      <c r="D59" s="19"/>
      <c r="G59" s="84"/>
      <c r="J59" s="84"/>
      <c r="M59" s="84"/>
      <c r="P59" s="84"/>
      <c r="S59" s="84"/>
      <c r="V59" s="84"/>
      <c r="W59" s="84"/>
    </row>
    <row r="60" spans="4:23" s="1" customFormat="1" ht="11.25">
      <c r="D60" s="19"/>
      <c r="G60" s="84"/>
      <c r="J60" s="84"/>
      <c r="M60" s="84"/>
      <c r="P60" s="84"/>
      <c r="S60" s="84"/>
      <c r="V60" s="84"/>
      <c r="W60" s="84"/>
    </row>
    <row r="61" spans="4:23" s="1" customFormat="1" ht="11.25">
      <c r="D61" s="19"/>
      <c r="G61" s="84"/>
      <c r="J61" s="84"/>
      <c r="M61" s="84"/>
      <c r="P61" s="84"/>
      <c r="S61" s="84"/>
      <c r="V61" s="84"/>
      <c r="W61" s="84"/>
    </row>
    <row r="62" spans="4:23" s="1" customFormat="1" ht="11.25">
      <c r="D62" s="19"/>
      <c r="G62" s="84"/>
      <c r="J62" s="84"/>
      <c r="M62" s="84"/>
      <c r="P62" s="84"/>
      <c r="S62" s="84"/>
      <c r="V62" s="84"/>
      <c r="W62" s="84"/>
    </row>
    <row r="63" spans="4:23" s="1" customFormat="1" ht="11.25">
      <c r="D63" s="19"/>
      <c r="G63" s="84"/>
      <c r="J63" s="84"/>
      <c r="M63" s="84"/>
      <c r="P63" s="84"/>
      <c r="S63" s="84"/>
      <c r="V63" s="84"/>
      <c r="W63" s="84"/>
    </row>
    <row r="64" spans="4:23" s="1" customFormat="1" ht="11.25">
      <c r="D64" s="19"/>
      <c r="G64" s="84"/>
      <c r="J64" s="84"/>
      <c r="M64" s="84"/>
      <c r="P64" s="84"/>
      <c r="S64" s="84"/>
      <c r="V64" s="84"/>
      <c r="W64" s="84"/>
    </row>
    <row r="65" spans="4:23" s="1" customFormat="1" ht="11.25">
      <c r="D65" s="19"/>
      <c r="G65" s="84"/>
      <c r="J65" s="84"/>
      <c r="M65" s="84"/>
      <c r="P65" s="84"/>
      <c r="S65" s="84"/>
      <c r="V65" s="84"/>
      <c r="W65" s="84"/>
    </row>
    <row r="66" spans="4:23" s="1" customFormat="1" ht="11.25">
      <c r="D66" s="19"/>
      <c r="G66" s="84"/>
      <c r="J66" s="84"/>
      <c r="M66" s="84"/>
      <c r="P66" s="84"/>
      <c r="S66" s="84"/>
      <c r="V66" s="84"/>
      <c r="W66" s="84"/>
    </row>
    <row r="67" spans="4:23" s="1" customFormat="1" ht="11.25">
      <c r="D67" s="19"/>
      <c r="G67" s="84"/>
      <c r="J67" s="84"/>
      <c r="M67" s="84"/>
      <c r="P67" s="84"/>
      <c r="S67" s="84"/>
      <c r="V67" s="84"/>
      <c r="W67" s="84"/>
    </row>
    <row r="68" spans="4:23" s="1" customFormat="1" ht="11.25">
      <c r="D68" s="19"/>
      <c r="G68" s="84"/>
      <c r="J68" s="84"/>
      <c r="M68" s="84"/>
      <c r="P68" s="84"/>
      <c r="S68" s="84"/>
      <c r="V68" s="84"/>
      <c r="W68" s="84"/>
    </row>
    <row r="69" spans="4:23" s="1" customFormat="1" ht="11.25">
      <c r="D69" s="19"/>
      <c r="G69" s="84"/>
      <c r="J69" s="84"/>
      <c r="M69" s="84"/>
      <c r="P69" s="84"/>
      <c r="S69" s="84"/>
      <c r="V69" s="84"/>
      <c r="W69" s="84"/>
    </row>
    <row r="70" spans="4:23" s="1" customFormat="1" ht="11.25">
      <c r="D70" s="19"/>
      <c r="G70" s="84"/>
      <c r="J70" s="84"/>
      <c r="M70" s="84"/>
      <c r="P70" s="84"/>
      <c r="S70" s="84"/>
      <c r="V70" s="84"/>
      <c r="W70" s="84"/>
    </row>
    <row r="71" spans="4:23" s="1" customFormat="1" ht="11.25">
      <c r="D71" s="19"/>
      <c r="G71" s="84"/>
      <c r="J71" s="84"/>
      <c r="M71" s="84"/>
      <c r="P71" s="84"/>
      <c r="S71" s="84"/>
      <c r="V71" s="84"/>
      <c r="W71" s="84"/>
    </row>
    <row r="72" spans="4:23" s="1" customFormat="1" ht="11.25">
      <c r="D72" s="19"/>
      <c r="G72" s="84"/>
      <c r="J72" s="84"/>
      <c r="M72" s="84"/>
      <c r="P72" s="84"/>
      <c r="S72" s="84"/>
      <c r="V72" s="84"/>
      <c r="W72" s="84"/>
    </row>
    <row r="73" spans="4:23" s="1" customFormat="1" ht="11.25">
      <c r="D73" s="19"/>
      <c r="G73" s="84"/>
      <c r="J73" s="84"/>
      <c r="M73" s="84"/>
      <c r="P73" s="84"/>
      <c r="S73" s="84"/>
      <c r="V73" s="84"/>
      <c r="W73" s="84"/>
    </row>
    <row r="74" spans="4:23" s="1" customFormat="1" ht="11.25">
      <c r="D74" s="19"/>
      <c r="G74" s="84"/>
      <c r="J74" s="84"/>
      <c r="M74" s="84"/>
      <c r="P74" s="84"/>
      <c r="S74" s="84"/>
      <c r="V74" s="84"/>
      <c r="W74" s="84"/>
    </row>
    <row r="75" spans="4:23" s="1" customFormat="1" ht="11.25">
      <c r="D75" s="19"/>
      <c r="G75" s="84"/>
      <c r="J75" s="84"/>
      <c r="M75" s="84"/>
      <c r="P75" s="84"/>
      <c r="S75" s="84"/>
      <c r="V75" s="84"/>
      <c r="W75" s="84"/>
    </row>
    <row r="76" spans="4:23" s="1" customFormat="1" ht="11.25">
      <c r="D76" s="19"/>
      <c r="G76" s="84"/>
      <c r="J76" s="84"/>
      <c r="M76" s="84"/>
      <c r="P76" s="84"/>
      <c r="S76" s="84"/>
      <c r="V76" s="84"/>
      <c r="W76" s="84"/>
    </row>
    <row r="77" spans="4:23" s="1" customFormat="1" ht="11.25">
      <c r="D77" s="19"/>
      <c r="G77" s="84"/>
      <c r="J77" s="84"/>
      <c r="M77" s="84"/>
      <c r="P77" s="84"/>
      <c r="S77" s="84"/>
      <c r="V77" s="84"/>
      <c r="W77" s="84"/>
    </row>
    <row r="78" spans="4:23" s="1" customFormat="1" ht="11.25">
      <c r="D78" s="19"/>
      <c r="G78" s="84"/>
      <c r="J78" s="84"/>
      <c r="M78" s="84"/>
      <c r="P78" s="84"/>
      <c r="S78" s="84"/>
      <c r="V78" s="84"/>
      <c r="W78" s="84"/>
    </row>
    <row r="79" spans="4:23" s="1" customFormat="1" ht="11.25">
      <c r="D79" s="19"/>
      <c r="G79" s="84"/>
      <c r="J79" s="84"/>
      <c r="M79" s="84"/>
      <c r="P79" s="84"/>
      <c r="S79" s="84"/>
      <c r="V79" s="84"/>
      <c r="W79" s="84"/>
    </row>
    <row r="80" spans="4:23" s="1" customFormat="1" ht="11.25">
      <c r="D80" s="19"/>
      <c r="G80" s="84"/>
      <c r="J80" s="84"/>
      <c r="M80" s="84"/>
      <c r="P80" s="84"/>
      <c r="S80" s="84"/>
      <c r="V80" s="84"/>
      <c r="W80" s="84"/>
    </row>
    <row r="81" spans="4:23" s="1" customFormat="1" ht="11.25">
      <c r="D81" s="19"/>
      <c r="G81" s="84"/>
      <c r="J81" s="84"/>
      <c r="M81" s="84"/>
      <c r="P81" s="84"/>
      <c r="S81" s="84"/>
      <c r="V81" s="84"/>
      <c r="W81" s="84"/>
    </row>
    <row r="82" spans="4:23" s="1" customFormat="1" ht="11.25">
      <c r="D82" s="19"/>
      <c r="G82" s="84"/>
      <c r="J82" s="84"/>
      <c r="M82" s="84"/>
      <c r="P82" s="84"/>
      <c r="S82" s="84"/>
      <c r="V82" s="84"/>
      <c r="W82" s="84"/>
    </row>
    <row r="83" spans="4:23" s="1" customFormat="1" ht="11.25">
      <c r="D83" s="19"/>
      <c r="G83" s="84"/>
      <c r="J83" s="84"/>
      <c r="M83" s="84"/>
      <c r="P83" s="84"/>
      <c r="S83" s="84"/>
      <c r="V83" s="84"/>
      <c r="W83" s="84"/>
    </row>
    <row r="84" spans="4:23" s="1" customFormat="1" ht="11.25">
      <c r="D84" s="19"/>
      <c r="G84" s="84"/>
      <c r="J84" s="84"/>
      <c r="M84" s="84"/>
      <c r="P84" s="84"/>
      <c r="S84" s="84"/>
      <c r="V84" s="84"/>
      <c r="W84" s="84"/>
    </row>
    <row r="85" spans="4:23" s="1" customFormat="1" ht="11.25">
      <c r="D85" s="19"/>
      <c r="G85" s="84"/>
      <c r="J85" s="84"/>
      <c r="M85" s="84"/>
      <c r="P85" s="84"/>
      <c r="S85" s="84"/>
      <c r="V85" s="84"/>
      <c r="W85" s="84"/>
    </row>
    <row r="86" spans="4:23" s="1" customFormat="1" ht="11.25">
      <c r="D86" s="19"/>
      <c r="G86" s="84"/>
      <c r="J86" s="84"/>
      <c r="M86" s="84"/>
      <c r="P86" s="84"/>
      <c r="S86" s="84"/>
      <c r="V86" s="84"/>
      <c r="W86" s="84"/>
    </row>
    <row r="87" spans="4:23" s="1" customFormat="1" ht="11.25">
      <c r="D87" s="19"/>
      <c r="G87" s="84"/>
      <c r="J87" s="84"/>
      <c r="M87" s="84"/>
      <c r="P87" s="84"/>
      <c r="S87" s="84"/>
      <c r="V87" s="84"/>
      <c r="W87" s="84"/>
    </row>
    <row r="88" spans="4:23" s="1" customFormat="1" ht="11.25">
      <c r="D88" s="19"/>
      <c r="G88" s="84"/>
      <c r="J88" s="84"/>
      <c r="M88" s="84"/>
      <c r="P88" s="84"/>
      <c r="S88" s="84"/>
      <c r="V88" s="84"/>
      <c r="W88" s="84"/>
    </row>
    <row r="89" spans="4:23" s="1" customFormat="1" ht="11.25">
      <c r="D89" s="19"/>
      <c r="G89" s="84"/>
      <c r="J89" s="84"/>
      <c r="M89" s="84"/>
      <c r="P89" s="84"/>
      <c r="S89" s="84"/>
      <c r="V89" s="84"/>
      <c r="W89" s="84"/>
    </row>
    <row r="90" spans="4:23" s="1" customFormat="1" ht="11.25">
      <c r="D90" s="19"/>
      <c r="G90" s="84"/>
      <c r="J90" s="84"/>
      <c r="M90" s="84"/>
      <c r="P90" s="84"/>
      <c r="S90" s="84"/>
      <c r="V90" s="84"/>
      <c r="W90" s="84"/>
    </row>
    <row r="91" spans="4:23" s="1" customFormat="1" ht="11.25">
      <c r="D91" s="19"/>
      <c r="G91" s="84"/>
      <c r="J91" s="84"/>
      <c r="M91" s="84"/>
      <c r="P91" s="84"/>
      <c r="S91" s="84"/>
      <c r="V91" s="84"/>
      <c r="W91" s="84"/>
    </row>
    <row r="92" spans="4:23" s="1" customFormat="1" ht="11.25">
      <c r="D92" s="19"/>
      <c r="G92" s="84"/>
      <c r="J92" s="84"/>
      <c r="M92" s="84"/>
      <c r="P92" s="84"/>
      <c r="S92" s="84"/>
      <c r="V92" s="84"/>
      <c r="W92" s="84"/>
    </row>
    <row r="93" spans="4:23" s="1" customFormat="1" ht="11.25">
      <c r="D93" s="19"/>
      <c r="G93" s="84"/>
      <c r="J93" s="84"/>
      <c r="M93" s="84"/>
      <c r="P93" s="84"/>
      <c r="S93" s="84"/>
      <c r="V93" s="84"/>
      <c r="W93" s="84"/>
    </row>
    <row r="94" spans="4:23" s="1" customFormat="1" ht="11.25">
      <c r="D94" s="19"/>
      <c r="G94" s="84"/>
      <c r="J94" s="84"/>
      <c r="M94" s="84"/>
      <c r="P94" s="84"/>
      <c r="S94" s="84"/>
      <c r="V94" s="84"/>
      <c r="W94" s="84"/>
    </row>
    <row r="95" spans="4:23" s="1" customFormat="1" ht="11.25">
      <c r="D95" s="19"/>
      <c r="G95" s="84"/>
      <c r="J95" s="84"/>
      <c r="M95" s="84"/>
      <c r="P95" s="84"/>
      <c r="S95" s="84"/>
      <c r="V95" s="84"/>
      <c r="W95" s="84"/>
    </row>
    <row r="96" spans="4:23" s="1" customFormat="1" ht="11.25">
      <c r="D96" s="19"/>
      <c r="G96" s="84"/>
      <c r="J96" s="84"/>
      <c r="M96" s="84"/>
      <c r="P96" s="84"/>
      <c r="S96" s="84"/>
      <c r="V96" s="84"/>
      <c r="W96" s="84"/>
    </row>
    <row r="97" spans="4:23" s="1" customFormat="1" ht="11.25">
      <c r="D97" s="19"/>
      <c r="G97" s="84"/>
      <c r="J97" s="84"/>
      <c r="M97" s="84"/>
      <c r="P97" s="84"/>
      <c r="S97" s="84"/>
      <c r="V97" s="84"/>
      <c r="W97" s="84"/>
    </row>
    <row r="98" spans="4:23" s="1" customFormat="1" ht="11.25">
      <c r="D98" s="19"/>
      <c r="G98" s="84"/>
      <c r="J98" s="84"/>
      <c r="M98" s="84"/>
      <c r="P98" s="84"/>
      <c r="S98" s="84"/>
      <c r="V98" s="84"/>
      <c r="W98" s="84"/>
    </row>
    <row r="99" spans="4:23" s="1" customFormat="1" ht="11.25">
      <c r="D99" s="19"/>
      <c r="G99" s="84"/>
      <c r="J99" s="84"/>
      <c r="M99" s="84"/>
      <c r="P99" s="84"/>
      <c r="S99" s="84"/>
      <c r="V99" s="84"/>
      <c r="W99" s="84"/>
    </row>
    <row r="100" spans="4:23" s="1" customFormat="1" ht="11.25">
      <c r="D100" s="19"/>
      <c r="G100" s="84"/>
      <c r="J100" s="84"/>
      <c r="M100" s="84"/>
      <c r="P100" s="84"/>
      <c r="S100" s="84"/>
      <c r="V100" s="84"/>
      <c r="W100" s="84"/>
    </row>
    <row r="101" spans="4:23" s="1" customFormat="1" ht="11.25">
      <c r="D101" s="19"/>
      <c r="G101" s="84"/>
      <c r="J101" s="84"/>
      <c r="M101" s="84"/>
      <c r="P101" s="84"/>
      <c r="S101" s="84"/>
      <c r="V101" s="84"/>
      <c r="W101" s="84"/>
    </row>
    <row r="102" spans="4:23" s="1" customFormat="1" ht="11.25">
      <c r="D102" s="19"/>
      <c r="G102" s="84"/>
      <c r="J102" s="84"/>
      <c r="M102" s="84"/>
      <c r="P102" s="84"/>
      <c r="S102" s="84"/>
      <c r="V102" s="84"/>
      <c r="W102" s="84"/>
    </row>
    <row r="103" spans="4:23" s="1" customFormat="1" ht="11.25">
      <c r="D103" s="19"/>
      <c r="G103" s="84"/>
      <c r="J103" s="84"/>
      <c r="M103" s="84"/>
      <c r="P103" s="84"/>
      <c r="S103" s="84"/>
      <c r="V103" s="84"/>
      <c r="W103" s="84"/>
    </row>
    <row r="104" spans="4:23" s="1" customFormat="1" ht="11.25">
      <c r="D104" s="19"/>
      <c r="G104" s="84"/>
      <c r="J104" s="84"/>
      <c r="M104" s="84"/>
      <c r="P104" s="84"/>
      <c r="S104" s="84"/>
      <c r="V104" s="84"/>
      <c r="W104" s="84"/>
    </row>
    <row r="105" spans="4:23" s="1" customFormat="1" ht="11.25">
      <c r="D105" s="19"/>
      <c r="G105" s="84"/>
      <c r="J105" s="84"/>
      <c r="M105" s="84"/>
      <c r="P105" s="84"/>
      <c r="S105" s="84"/>
      <c r="V105" s="84"/>
      <c r="W105" s="84"/>
    </row>
    <row r="106" spans="4:23" s="1" customFormat="1" ht="11.25">
      <c r="D106" s="19"/>
      <c r="G106" s="84"/>
      <c r="J106" s="84"/>
      <c r="M106" s="84"/>
      <c r="P106" s="84"/>
      <c r="S106" s="84"/>
      <c r="V106" s="84"/>
      <c r="W106" s="84"/>
    </row>
    <row r="107" spans="4:23" s="1" customFormat="1" ht="11.25">
      <c r="D107" s="19"/>
      <c r="G107" s="84"/>
      <c r="J107" s="84"/>
      <c r="M107" s="84"/>
      <c r="P107" s="84"/>
      <c r="S107" s="84"/>
      <c r="V107" s="84"/>
      <c r="W107" s="84"/>
    </row>
    <row r="108" spans="4:23" s="1" customFormat="1" ht="11.25">
      <c r="D108" s="19"/>
      <c r="G108" s="84"/>
      <c r="J108" s="84"/>
      <c r="M108" s="84"/>
      <c r="P108" s="84"/>
      <c r="S108" s="84"/>
      <c r="V108" s="84"/>
      <c r="W108" s="84"/>
    </row>
    <row r="109" spans="4:23" s="1" customFormat="1" ht="11.25">
      <c r="D109" s="19"/>
      <c r="G109" s="84"/>
      <c r="J109" s="84"/>
      <c r="M109" s="84"/>
      <c r="P109" s="84"/>
      <c r="S109" s="84"/>
      <c r="V109" s="84"/>
      <c r="W109" s="84"/>
    </row>
    <row r="110" spans="4:23" s="1" customFormat="1" ht="11.25">
      <c r="D110" s="19"/>
      <c r="G110" s="84"/>
      <c r="J110" s="84"/>
      <c r="M110" s="84"/>
      <c r="P110" s="84"/>
      <c r="S110" s="84"/>
      <c r="V110" s="84"/>
      <c r="W110" s="84"/>
    </row>
    <row r="111" spans="4:23" s="1" customFormat="1" ht="11.25">
      <c r="D111" s="19"/>
      <c r="G111" s="84"/>
      <c r="J111" s="84"/>
      <c r="M111" s="84"/>
      <c r="P111" s="84"/>
      <c r="S111" s="84"/>
      <c r="V111" s="84"/>
      <c r="W111" s="84"/>
    </row>
    <row r="112" spans="4:23" s="1" customFormat="1" ht="11.25">
      <c r="D112" s="19"/>
      <c r="G112" s="84"/>
      <c r="J112" s="84"/>
      <c r="M112" s="84"/>
      <c r="P112" s="84"/>
      <c r="S112" s="84"/>
      <c r="V112" s="84"/>
      <c r="W112" s="84"/>
    </row>
    <row r="113" spans="4:23" s="1" customFormat="1" ht="11.25">
      <c r="D113" s="19"/>
      <c r="G113" s="84"/>
      <c r="J113" s="84"/>
      <c r="M113" s="84"/>
      <c r="P113" s="84"/>
      <c r="S113" s="84"/>
      <c r="V113" s="84"/>
      <c r="W113" s="84"/>
    </row>
    <row r="114" spans="4:23" s="1" customFormat="1" ht="11.25">
      <c r="D114" s="19"/>
      <c r="G114" s="84"/>
      <c r="J114" s="84"/>
      <c r="M114" s="84"/>
      <c r="P114" s="84"/>
      <c r="S114" s="84"/>
      <c r="V114" s="84"/>
      <c r="W114" s="84"/>
    </row>
    <row r="115" spans="4:23" s="1" customFormat="1" ht="11.25">
      <c r="D115" s="19"/>
      <c r="G115" s="84"/>
      <c r="J115" s="84"/>
      <c r="M115" s="84"/>
      <c r="P115" s="84"/>
      <c r="S115" s="84"/>
      <c r="V115" s="84"/>
      <c r="W115" s="84"/>
    </row>
    <row r="116" spans="4:23" s="1" customFormat="1" ht="11.25">
      <c r="D116" s="19"/>
      <c r="G116" s="84"/>
      <c r="J116" s="84"/>
      <c r="M116" s="84"/>
      <c r="P116" s="84"/>
      <c r="S116" s="84"/>
      <c r="V116" s="84"/>
      <c r="W116" s="84"/>
    </row>
    <row r="117" spans="4:23" s="1" customFormat="1" ht="11.25">
      <c r="D117" s="19"/>
      <c r="G117" s="84"/>
      <c r="J117" s="84"/>
      <c r="M117" s="84"/>
      <c r="P117" s="84"/>
      <c r="S117" s="84"/>
      <c r="V117" s="84"/>
      <c r="W117" s="84"/>
    </row>
    <row r="118" spans="4:23" s="1" customFormat="1" ht="11.25">
      <c r="D118" s="19"/>
      <c r="G118" s="84"/>
      <c r="J118" s="84"/>
      <c r="M118" s="84"/>
      <c r="P118" s="84"/>
      <c r="S118" s="84"/>
      <c r="V118" s="84"/>
      <c r="W118" s="84"/>
    </row>
    <row r="119" spans="4:23" s="1" customFormat="1" ht="11.25">
      <c r="D119" s="19"/>
      <c r="G119" s="84"/>
      <c r="J119" s="84"/>
      <c r="M119" s="84"/>
      <c r="P119" s="84"/>
      <c r="S119" s="84"/>
      <c r="V119" s="84"/>
      <c r="W119" s="84"/>
    </row>
    <row r="120" spans="4:23" s="1" customFormat="1" ht="11.25">
      <c r="D120" s="19"/>
      <c r="G120" s="84"/>
      <c r="J120" s="84"/>
      <c r="M120" s="84"/>
      <c r="P120" s="84"/>
      <c r="S120" s="84"/>
      <c r="V120" s="84"/>
      <c r="W120" s="84"/>
    </row>
    <row r="121" spans="4:23" s="1" customFormat="1" ht="11.25">
      <c r="D121" s="19"/>
      <c r="G121" s="84"/>
      <c r="J121" s="84"/>
      <c r="M121" s="84"/>
      <c r="P121" s="84"/>
      <c r="S121" s="84"/>
      <c r="V121" s="84"/>
      <c r="W121" s="84"/>
    </row>
    <row r="122" spans="4:23" s="1" customFormat="1" ht="11.25">
      <c r="D122" s="19"/>
      <c r="G122" s="84"/>
      <c r="J122" s="84"/>
      <c r="M122" s="84"/>
      <c r="P122" s="84"/>
      <c r="S122" s="84"/>
      <c r="V122" s="84"/>
      <c r="W122" s="84"/>
    </row>
    <row r="123" spans="4:23" s="1" customFormat="1" ht="11.25">
      <c r="D123" s="19"/>
      <c r="G123" s="84"/>
      <c r="J123" s="84"/>
      <c r="M123" s="84"/>
      <c r="P123" s="84"/>
      <c r="S123" s="84"/>
      <c r="V123" s="84"/>
      <c r="W123" s="84"/>
    </row>
    <row r="124" spans="4:23" s="1" customFormat="1" ht="11.25">
      <c r="D124" s="19"/>
      <c r="G124" s="84"/>
      <c r="J124" s="84"/>
      <c r="M124" s="84"/>
      <c r="P124" s="84"/>
      <c r="S124" s="84"/>
      <c r="V124" s="84"/>
      <c r="W124" s="84"/>
    </row>
    <row r="125" spans="4:23" s="1" customFormat="1" ht="11.25">
      <c r="D125" s="19"/>
      <c r="G125" s="84"/>
      <c r="J125" s="84"/>
      <c r="M125" s="84"/>
      <c r="P125" s="84"/>
      <c r="S125" s="84"/>
      <c r="V125" s="84"/>
      <c r="W125" s="84"/>
    </row>
    <row r="126" spans="4:23" s="1" customFormat="1" ht="11.25">
      <c r="D126" s="19"/>
      <c r="G126" s="84"/>
      <c r="J126" s="84"/>
      <c r="M126" s="84"/>
      <c r="P126" s="84"/>
      <c r="S126" s="84"/>
      <c r="V126" s="84"/>
      <c r="W126" s="84"/>
    </row>
    <row r="127" spans="4:23" s="1" customFormat="1" ht="11.25">
      <c r="D127" s="19"/>
      <c r="G127" s="84"/>
      <c r="J127" s="84"/>
      <c r="M127" s="84"/>
      <c r="P127" s="84"/>
      <c r="S127" s="84"/>
      <c r="V127" s="84"/>
      <c r="W127" s="84"/>
    </row>
    <row r="128" spans="4:23" s="1" customFormat="1" ht="11.25">
      <c r="D128" s="19"/>
      <c r="G128" s="84"/>
      <c r="J128" s="84"/>
      <c r="M128" s="84"/>
      <c r="P128" s="84"/>
      <c r="S128" s="84"/>
      <c r="V128" s="84"/>
      <c r="W128" s="84"/>
    </row>
    <row r="129" spans="4:23" s="1" customFormat="1" ht="11.25">
      <c r="D129" s="19"/>
      <c r="G129" s="84"/>
      <c r="J129" s="84"/>
      <c r="M129" s="84"/>
      <c r="P129" s="84"/>
      <c r="S129" s="84"/>
      <c r="V129" s="84"/>
      <c r="W129" s="84"/>
    </row>
    <row r="130" spans="4:23" s="1" customFormat="1" ht="11.25">
      <c r="D130" s="19"/>
      <c r="G130" s="84"/>
      <c r="J130" s="84"/>
      <c r="M130" s="84"/>
      <c r="P130" s="84"/>
      <c r="S130" s="84"/>
      <c r="V130" s="84"/>
      <c r="W130" s="84"/>
    </row>
    <row r="131" spans="4:23" s="1" customFormat="1" ht="11.25">
      <c r="D131" s="19"/>
      <c r="G131" s="84"/>
      <c r="J131" s="84"/>
      <c r="M131" s="84"/>
      <c r="P131" s="84"/>
      <c r="S131" s="84"/>
      <c r="V131" s="84"/>
      <c r="W131" s="84"/>
    </row>
  </sheetData>
  <sheetProtection/>
  <mergeCells count="14">
    <mergeCell ref="K9:M9"/>
    <mergeCell ref="Q9:S9"/>
    <mergeCell ref="E8:G8"/>
    <mergeCell ref="H8:W8"/>
    <mergeCell ref="B32:C32"/>
    <mergeCell ref="T9:W9"/>
    <mergeCell ref="C8:C10"/>
    <mergeCell ref="B8:B10"/>
    <mergeCell ref="N9:P9"/>
    <mergeCell ref="C2:W2"/>
    <mergeCell ref="C3:W3"/>
    <mergeCell ref="C4:W4"/>
    <mergeCell ref="E9:G9"/>
    <mergeCell ref="H9:J9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2017-09-19T18:11:03Z</dcterms:modified>
  <cp:category/>
  <cp:version/>
  <cp:contentType/>
  <cp:contentStatus/>
</cp:coreProperties>
</file>