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Egresos_1" sheetId="1" r:id="rId1"/>
    <sheet name="Egresos_2" sheetId="2" r:id="rId2"/>
    <sheet name="Gto_09_10" sheetId="3" r:id="rId3"/>
    <sheet name="Ing_2018_2019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'Ing_2018_2019'!$A$1:$V$40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<sst xmlns="http://schemas.openxmlformats.org/spreadsheetml/2006/main" count="191" uniqueCount="149">
  <si>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</si>
  <si>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</si>
  <si>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</si>
  <si>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</si>
  <si>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</si>
  <si>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</si>
  <si>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</si>
  <si>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</si>
  <si>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</si>
  <si>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</si>
  <si>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</si>
  <si>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</si>
  <si>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</si>
  <si>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</si>
  <si>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</si>
  <si>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</si>
  <si>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</si>
  <si>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</si>
  <si>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</si>
  <si>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</si>
  <si>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</si>
  <si>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</si>
  <si>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</si>
  <si>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</si>
  <si>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</si>
  <si>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</si>
  <si>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</si>
  <si>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</si>
  <si>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</si>
  <si>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</si>
  <si>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</si>
  <si>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</si>
  <si>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</si>
  <si>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</si>
  <si>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</si>
  <si>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</si>
  <si>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</si>
  <si>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</si>
  <si>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</si>
  <si>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</si>
  <si>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</si>
  <si>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</si>
  <si>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</si>
  <si>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</si>
  <si>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</si>
  <si>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</si>
  <si>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</si>
  <si>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</si>
  <si>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</si>
  <si>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</si>
  <si>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</si>
  <si>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</si>
  <si>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</si>
  <si>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</si>
  <si>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</si>
  <si>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</si>
  <si>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</si>
  <si>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</si>
  <si>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</si>
  <si>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</si>
  <si>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</si>
  <si>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</si>
  <si>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</si>
  <si>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</si>
  <si>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</si>
  <si>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</si>
  <si>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</si>
  <si>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</si>
  <si>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</si>
  <si>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</si>
  <si>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</si>
  <si>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</si>
  <si>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</si>
  <si>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</si>
  <si>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</si>
  <si>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</si>
  <si>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</si>
  <si>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</si>
  <si>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</si>
  <si>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</si>
  <si>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</si>
  <si>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</si>
  <si>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</si>
  <si>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</si>
  <si>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</si>
  <si>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</si>
  <si>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</si>
  <si>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</si>
  <si>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</si>
  <si>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</si>
  <si>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</si>
  <si>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</si>
  <si>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</si>
  <si>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</si>
  <si>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</si>
  <si>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</si>
  <si>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</si>
  <si>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</si>
  <si>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</si>
  <si>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</si>
  <si>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</si>
  <si>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</si>
  <si>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</si>
  <si>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</si>
  <si>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</si>
  <si>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</si>
  <si>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</si>
  <si>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</si>
  <si>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</si>
  <si>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</si>
  <si>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</si>
  <si>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</si>
  <si>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</si>
  <si>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</si>
  <si>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</si>
  <si>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</si>
  <si>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</si>
  <si>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</si>
  <si>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</si>
  <si>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</si>
  <si>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</si>
  <si>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</si>
  <si>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</si>
  <si>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</si>
  <si>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</si>
  <si>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</si>
  <si>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</si>
  <si>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</si>
  <si>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</si>
  <si>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</si>
  <si>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</si>
  <si>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</si>
  <si>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</si>
  <si>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</si>
  <si>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</si>
  <si>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</si>
  <si>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</si>
  <si>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AÑO FISCAL 2019</t>
  </si>
  <si>
    <t>5 RECURSOS DETERMINADOS</t>
  </si>
  <si>
    <t>EJECUCION
III TRIMESTRE
 /*</t>
  </si>
  <si>
    <t>EJECUCION AL
III TRIMESTRE (*)</t>
  </si>
  <si>
    <t>EJECUCION III TRIMESTRE (*)</t>
  </si>
  <si>
    <t>EJECUCION III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</si>
  <si>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</t>
    </r>
  </si>
  <si>
    <t>AÑO FISCAL 2020</t>
  </si>
  <si>
    <t>PRESUPUESTO DE EGRESOS COMPARATIVO III TRIMESTRE AÑO FISCAL 2019 - 2020</t>
  </si>
  <si>
    <t>Fuente : Consulta Amigable: Base de Datos MEF, al 30 de Setiembre del 2020</t>
  </si>
  <si>
    <t>RESULTADOS OPERATIVOS COMPARATIVOS III TRIMESTRE AÑOS FISCALES 2019 - 2020</t>
  </si>
  <si>
    <t>INGRESOS COMPARATIVOS III TRIMESTRE AÑO FISCAL 2019 - 2020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</si>
</sst>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1">
      <selection activeCell="J29" sqref="J29:J30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145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6</v>
      </c>
      <c r="D6" s="201"/>
      <c r="E6" s="14"/>
      <c r="F6" s="199" t="s">
        <v>137</v>
      </c>
      <c r="G6" s="202"/>
      <c r="H6" s="200"/>
      <c r="I6" s="72"/>
      <c r="J6" s="199" t="s">
        <v>144</v>
      </c>
      <c r="K6" s="202"/>
      <c r="L6" s="200"/>
      <c r="M6" s="72"/>
      <c r="N6" s="199" t="s">
        <v>10</v>
      </c>
      <c r="O6" s="200"/>
    </row>
    <row r="7" spans="3:15" ht="12.75" customHeight="1">
      <c r="C7" s="201"/>
      <c r="D7" s="201"/>
      <c r="E7" s="14"/>
      <c r="F7" s="197" t="s">
        <v>8</v>
      </c>
      <c r="G7" s="197" t="s">
        <v>139</v>
      </c>
      <c r="H7" s="197" t="s">
        <v>114</v>
      </c>
      <c r="I7" s="69"/>
      <c r="J7" s="197" t="s">
        <v>8</v>
      </c>
      <c r="K7" s="197" t="s">
        <v>139</v>
      </c>
      <c r="L7" s="197" t="s">
        <v>114</v>
      </c>
      <c r="M7" s="69"/>
      <c r="N7" s="197" t="s">
        <v>8</v>
      </c>
      <c r="O7" s="197" t="s">
        <v>139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7</v>
      </c>
      <c r="D11" s="194"/>
      <c r="E11" s="16"/>
      <c r="F11" s="159">
        <f>SUM(F12:F16)</f>
        <v>6553555229</v>
      </c>
      <c r="G11" s="159">
        <f>SUM(G12:G16)</f>
        <v>1825915159</v>
      </c>
      <c r="H11" s="127">
        <f aca="true" t="shared" si="0" ref="H11:H16">IF(F11=0," ",G11/F11)</f>
        <v>0.27861444593007795</v>
      </c>
      <c r="I11" s="69"/>
      <c r="J11" s="159">
        <f>SUM(J12:J16)</f>
        <v>10083530277</v>
      </c>
      <c r="K11" s="159">
        <f>SUM(K12:K16)</f>
        <v>2407838475</v>
      </c>
      <c r="L11" s="127">
        <f aca="true" t="shared" si="1" ref="L11:L16">IF(J11=0," ",K11/J11)</f>
        <v>0.23878923441050723</v>
      </c>
      <c r="M11" s="69"/>
      <c r="N11" s="159">
        <f aca="true" t="shared" si="2" ref="N11:O16">+J11-F11</f>
        <v>3529975048</v>
      </c>
      <c r="O11" s="159">
        <f t="shared" si="2"/>
        <v>581923316</v>
      </c>
    </row>
    <row r="12" spans="3:18" ht="12.75">
      <c r="C12" s="76" t="s">
        <v>32</v>
      </c>
      <c r="D12" s="120" t="s">
        <v>1</v>
      </c>
      <c r="E12" s="71"/>
      <c r="F12" s="158">
        <v>5525948779</v>
      </c>
      <c r="G12" s="158">
        <v>1615339824</v>
      </c>
      <c r="H12" s="96">
        <f t="shared" si="0"/>
        <v>0.2923190005196391</v>
      </c>
      <c r="I12" s="69"/>
      <c r="J12" s="158">
        <v>7108291075</v>
      </c>
      <c r="K12" s="158">
        <v>2154120332</v>
      </c>
      <c r="L12" s="96">
        <f t="shared" si="1"/>
        <v>0.3030433488544221</v>
      </c>
      <c r="M12" s="69"/>
      <c r="N12" s="158">
        <f t="shared" si="2"/>
        <v>1582342296</v>
      </c>
      <c r="O12" s="158">
        <f t="shared" si="2"/>
        <v>538780508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397645248</v>
      </c>
      <c r="G13" s="158">
        <v>86916763</v>
      </c>
      <c r="H13" s="96">
        <f t="shared" si="0"/>
        <v>0.2185786538055146</v>
      </c>
      <c r="I13" s="69"/>
      <c r="J13" s="158">
        <v>362893029</v>
      </c>
      <c r="K13" s="158">
        <v>51905290</v>
      </c>
      <c r="L13" s="96">
        <f t="shared" si="1"/>
        <v>0.14303192911429555</v>
      </c>
      <c r="M13" s="69"/>
      <c r="N13" s="158">
        <f t="shared" si="2"/>
        <v>-34752219</v>
      </c>
      <c r="O13" s="158">
        <f t="shared" si="2"/>
        <v>-35011473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65090190</v>
      </c>
      <c r="G14" s="158">
        <v>874659</v>
      </c>
      <c r="H14" s="96">
        <f t="shared" si="0"/>
        <v>0.013437647055570125</v>
      </c>
      <c r="I14" s="69"/>
      <c r="J14" s="158">
        <v>1954550860</v>
      </c>
      <c r="K14" s="158">
        <v>72837299</v>
      </c>
      <c r="L14" s="96">
        <f t="shared" si="1"/>
        <v>0.037265491776458555</v>
      </c>
      <c r="M14" s="69"/>
      <c r="N14" s="158">
        <f t="shared" si="2"/>
        <v>1889460670</v>
      </c>
      <c r="O14" s="158">
        <f t="shared" si="2"/>
        <v>71962640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559813085</v>
      </c>
      <c r="G15" s="158">
        <v>122445954</v>
      </c>
      <c r="H15" s="96">
        <f t="shared" si="0"/>
        <v>0.21872649511220338</v>
      </c>
      <c r="I15" s="69"/>
      <c r="J15" s="158">
        <v>654933460</v>
      </c>
      <c r="K15" s="158">
        <v>128975554</v>
      </c>
      <c r="L15" s="96">
        <f t="shared" si="1"/>
        <v>0.1969292483544817</v>
      </c>
      <c r="M15" s="69"/>
      <c r="N15" s="158">
        <f t="shared" si="2"/>
        <v>95120375</v>
      </c>
      <c r="O15" s="158">
        <f t="shared" si="2"/>
        <v>6529600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5057927</v>
      </c>
      <c r="G16" s="158">
        <v>337959</v>
      </c>
      <c r="H16" s="96">
        <f t="shared" si="0"/>
        <v>0.06681769033044566</v>
      </c>
      <c r="I16" s="69"/>
      <c r="J16" s="158">
        <v>2861853</v>
      </c>
      <c r="K16" s="158">
        <v>0</v>
      </c>
      <c r="L16" s="96">
        <f t="shared" si="1"/>
        <v>0</v>
      </c>
      <c r="M16" s="69"/>
      <c r="N16" s="158">
        <f t="shared" si="2"/>
        <v>-2196074</v>
      </c>
      <c r="O16" s="158">
        <f t="shared" si="2"/>
        <v>-337959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193" t="s">
        <v>5</v>
      </c>
      <c r="D18" s="194"/>
      <c r="E18" s="16"/>
      <c r="F18" s="159">
        <f>+F19+F25</f>
        <v>6553555229</v>
      </c>
      <c r="G18" s="159">
        <f>+G19+G25</f>
        <v>1825915159</v>
      </c>
      <c r="H18" s="127">
        <f>IF(F18=0," ",G18/F18)</f>
        <v>0.27861444593007795</v>
      </c>
      <c r="I18" s="69"/>
      <c r="J18" s="159">
        <f>+J19+J25</f>
        <v>10083530277</v>
      </c>
      <c r="K18" s="159">
        <f>+K19+K25</f>
        <v>2407838475</v>
      </c>
      <c r="L18" s="127">
        <f aca="true" t="shared" si="3" ref="L18:L30">IF(J18=0," ",K18/J18)</f>
        <v>0.23878923441050723</v>
      </c>
      <c r="M18" s="69"/>
      <c r="N18" s="159">
        <f aca="true" t="shared" si="4" ref="N18:N30">+J18-F18</f>
        <v>3529975048</v>
      </c>
      <c r="O18" s="159">
        <f aca="true" t="shared" si="5" ref="O18:O30">+K18-G18</f>
        <v>581923316</v>
      </c>
    </row>
    <row r="19" spans="3:15" ht="12.75">
      <c r="C19" s="76"/>
      <c r="D19" s="128" t="s">
        <v>108</v>
      </c>
      <c r="E19" s="16"/>
      <c r="F19" s="159">
        <f>+SUM(F20:F24)</f>
        <v>6005418933</v>
      </c>
      <c r="G19" s="159">
        <f>+SUM(G20:G24)</f>
        <v>1731628569</v>
      </c>
      <c r="H19" s="127">
        <f aca="true" t="shared" si="6" ref="H19:H30">IF(F19=0," ",G19/F19)</f>
        <v>0.28834434172188</v>
      </c>
      <c r="I19" s="69"/>
      <c r="J19" s="159">
        <f>+SUM(J20:J24)</f>
        <v>9112733269</v>
      </c>
      <c r="K19" s="159">
        <f>+SUM(K20:K24)</f>
        <v>2293982820</v>
      </c>
      <c r="L19" s="127">
        <f t="shared" si="3"/>
        <v>0.25173378307952315</v>
      </c>
      <c r="M19" s="69"/>
      <c r="N19" s="159">
        <f t="shared" si="4"/>
        <v>3107314336</v>
      </c>
      <c r="O19" s="159">
        <f t="shared" si="5"/>
        <v>562354251</v>
      </c>
    </row>
    <row r="20" spans="3:21" ht="12.75">
      <c r="C20" s="76"/>
      <c r="D20" s="121" t="s">
        <v>109</v>
      </c>
      <c r="E20" s="71"/>
      <c r="F20" s="158">
        <v>2531752622</v>
      </c>
      <c r="G20" s="158">
        <v>604820669</v>
      </c>
      <c r="H20" s="96">
        <f t="shared" si="6"/>
        <v>0.2388940624547322</v>
      </c>
      <c r="I20" s="69"/>
      <c r="J20" s="158">
        <v>2844413143</v>
      </c>
      <c r="K20" s="158">
        <v>646266993</v>
      </c>
      <c r="L20" s="96">
        <f t="shared" si="3"/>
        <v>0.22720573999260277</v>
      </c>
      <c r="M20" s="69"/>
      <c r="N20" s="158">
        <f t="shared" si="4"/>
        <v>312660521</v>
      </c>
      <c r="O20" s="158">
        <f t="shared" si="5"/>
        <v>41446324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174925612</v>
      </c>
      <c r="G21" s="158">
        <v>42224641</v>
      </c>
      <c r="H21" s="96">
        <f t="shared" si="6"/>
        <v>0.24138626995342455</v>
      </c>
      <c r="I21" s="69"/>
      <c r="J21" s="158">
        <v>172337429</v>
      </c>
      <c r="K21" s="158">
        <v>41282091</v>
      </c>
      <c r="L21" s="96">
        <f t="shared" si="3"/>
        <v>0.2395422238775536</v>
      </c>
      <c r="M21" s="69"/>
      <c r="N21" s="158">
        <f t="shared" si="4"/>
        <v>-2588183</v>
      </c>
      <c r="O21" s="158">
        <f t="shared" si="5"/>
        <v>-942550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2676307425</v>
      </c>
      <c r="G22" s="158">
        <v>654362617</v>
      </c>
      <c r="H22" s="96">
        <f t="shared" si="6"/>
        <v>0.24450203698104675</v>
      </c>
      <c r="I22" s="69"/>
      <c r="J22" s="158">
        <v>5325195692</v>
      </c>
      <c r="K22" s="158">
        <v>1218106544</v>
      </c>
      <c r="L22" s="96">
        <f t="shared" si="3"/>
        <v>0.22874399636241574</v>
      </c>
      <c r="M22" s="69"/>
      <c r="N22" s="158">
        <f t="shared" si="4"/>
        <v>2648888267</v>
      </c>
      <c r="O22" s="158">
        <f t="shared" si="5"/>
        <v>563743927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488064000</v>
      </c>
      <c r="G23" s="158">
        <v>408235426</v>
      </c>
      <c r="H23" s="96">
        <f t="shared" si="6"/>
        <v>0.8364383072711775</v>
      </c>
      <c r="I23" s="69"/>
      <c r="J23" s="158">
        <v>670961416</v>
      </c>
      <c r="K23" s="158">
        <v>372839284</v>
      </c>
      <c r="L23" s="96">
        <f t="shared" si="3"/>
        <v>0.5556791718705923</v>
      </c>
      <c r="M23" s="69"/>
      <c r="N23" s="158">
        <f t="shared" si="4"/>
        <v>182897416</v>
      </c>
      <c r="O23" s="158">
        <f t="shared" si="5"/>
        <v>-35396142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134369274</v>
      </c>
      <c r="G24" s="158">
        <v>21985216</v>
      </c>
      <c r="H24" s="96">
        <f t="shared" si="6"/>
        <v>0.1636178818678443</v>
      </c>
      <c r="I24" s="69"/>
      <c r="J24" s="158">
        <v>99825589</v>
      </c>
      <c r="K24" s="158">
        <v>15487908</v>
      </c>
      <c r="L24" s="96">
        <f t="shared" si="3"/>
        <v>0.15514967810507985</v>
      </c>
      <c r="M24" s="69"/>
      <c r="N24" s="158">
        <f t="shared" si="4"/>
        <v>-34543685</v>
      </c>
      <c r="O24" s="158">
        <f t="shared" si="5"/>
        <v>-6497308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548136296</v>
      </c>
      <c r="G25" s="159">
        <f>+G26+G27+G28</f>
        <v>94286590</v>
      </c>
      <c r="H25" s="127">
        <f t="shared" si="6"/>
        <v>0.17201303888841546</v>
      </c>
      <c r="I25" s="69"/>
      <c r="J25" s="159">
        <f>+J26+J27+J28</f>
        <v>970797008</v>
      </c>
      <c r="K25" s="159">
        <f>+K26+K27+K28</f>
        <v>113855655</v>
      </c>
      <c r="L25" s="127">
        <f t="shared" si="3"/>
        <v>0.1172805994062149</v>
      </c>
      <c r="M25" s="69"/>
      <c r="N25" s="159">
        <f t="shared" si="4"/>
        <v>422660712</v>
      </c>
      <c r="O25" s="159">
        <f t="shared" si="5"/>
        <v>19569065</v>
      </c>
    </row>
    <row r="26" spans="3:21" ht="12.75">
      <c r="C26" s="78"/>
      <c r="D26" s="123" t="s">
        <v>107</v>
      </c>
      <c r="E26" s="71"/>
      <c r="F26" s="158">
        <v>12</v>
      </c>
      <c r="G26" s="158">
        <v>0</v>
      </c>
      <c r="H26" s="96">
        <f t="shared" si="6"/>
        <v>0</v>
      </c>
      <c r="I26" s="69"/>
      <c r="J26" s="158">
        <v>176190036</v>
      </c>
      <c r="K26" s="158">
        <v>0</v>
      </c>
      <c r="L26" s="96">
        <f t="shared" si="3"/>
        <v>0</v>
      </c>
      <c r="M26" s="69"/>
      <c r="N26" s="158">
        <f t="shared" si="4"/>
        <v>176190024</v>
      </c>
      <c r="O26" s="158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548136284</v>
      </c>
      <c r="G28" s="160">
        <f>SUM(G29:G30)</f>
        <v>94286590</v>
      </c>
      <c r="H28" s="127">
        <f t="shared" si="6"/>
        <v>0.1720130426541878</v>
      </c>
      <c r="I28" s="81"/>
      <c r="J28" s="160">
        <f>+J29+J30</f>
        <v>794606972</v>
      </c>
      <c r="K28" s="160">
        <f>+K29+K30</f>
        <v>113855655</v>
      </c>
      <c r="L28" s="130">
        <f t="shared" si="3"/>
        <v>0.14328549712246924</v>
      </c>
      <c r="M28" s="81"/>
      <c r="N28" s="159">
        <f t="shared" si="4"/>
        <v>246470688</v>
      </c>
      <c r="O28" s="159">
        <f t="shared" si="5"/>
        <v>19569065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460087812</v>
      </c>
      <c r="G29" s="158">
        <v>80863312</v>
      </c>
      <c r="H29" s="96">
        <f t="shared" si="6"/>
        <v>0.17575625759023583</v>
      </c>
      <c r="I29" s="69"/>
      <c r="J29" s="162">
        <v>643930288</v>
      </c>
      <c r="K29" s="158">
        <f>89408066+1</f>
        <v>89408067</v>
      </c>
      <c r="L29" s="96">
        <f t="shared" si="3"/>
        <v>0.13884743219284632</v>
      </c>
      <c r="M29" s="69"/>
      <c r="N29" s="158">
        <f t="shared" si="4"/>
        <v>183842476</v>
      </c>
      <c r="O29" s="158">
        <f t="shared" si="5"/>
        <v>8544755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88048472</v>
      </c>
      <c r="G30" s="161">
        <v>13423278</v>
      </c>
      <c r="H30" s="98">
        <f t="shared" si="6"/>
        <v>0.15245327596372144</v>
      </c>
      <c r="I30" s="69"/>
      <c r="J30" s="161">
        <v>150676684</v>
      </c>
      <c r="K30" s="161">
        <v>24447588</v>
      </c>
      <c r="L30" s="98">
        <f t="shared" si="3"/>
        <v>0.16225196461052993</v>
      </c>
      <c r="M30" s="69"/>
      <c r="N30" s="161">
        <f t="shared" si="4"/>
        <v>62628212</v>
      </c>
      <c r="O30" s="161">
        <f t="shared" si="5"/>
        <v>11024310</v>
      </c>
      <c r="Q30" s="77"/>
      <c r="R30" s="77"/>
      <c r="U30" s="77"/>
    </row>
    <row r="31" spans="2:15" ht="12.75">
      <c r="B31" s="63"/>
      <c r="C31" s="65" t="s">
        <v>146</v>
      </c>
      <c r="D31" s="63"/>
      <c r="E31" s="71"/>
      <c r="F31" s="63"/>
      <c r="G31" s="63"/>
      <c r="H31" s="63"/>
      <c r="I31" s="69"/>
      <c r="J31" s="63"/>
      <c r="K31" s="190"/>
      <c r="L31" s="63"/>
      <c r="M31" s="69"/>
      <c r="N31" s="63"/>
      <c r="O31" s="63"/>
    </row>
    <row r="32" spans="2:15" ht="12.75">
      <c r="B32" s="63"/>
      <c r="C32" s="64" t="s">
        <v>143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J33" s="63"/>
      <c r="K33" s="63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I33" sqref="I33:I39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4" width="13.7109375" style="42" customWidth="1"/>
    <col min="15" max="16384" width="11.421875" style="42" customWidth="1"/>
  </cols>
  <sheetData>
    <row r="1" spans="2:15" ht="14.25">
      <c r="B1" s="207" t="s">
        <v>147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22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63</v>
      </c>
      <c r="C7" s="217"/>
      <c r="D7" s="41"/>
      <c r="E7" s="205" t="s">
        <v>137</v>
      </c>
      <c r="F7" s="205"/>
      <c r="G7" s="205"/>
      <c r="I7" s="205" t="s">
        <v>144</v>
      </c>
      <c r="J7" s="205"/>
      <c r="K7" s="205"/>
      <c r="M7" s="205" t="s">
        <v>10</v>
      </c>
      <c r="N7" s="205"/>
    </row>
    <row r="8" spans="2:14" s="43" customFormat="1" ht="38.25">
      <c r="B8" s="218"/>
      <c r="C8" s="219"/>
      <c r="D8" s="41"/>
      <c r="E8" s="125" t="s">
        <v>64</v>
      </c>
      <c r="F8" s="126" t="s">
        <v>140</v>
      </c>
      <c r="G8" s="125" t="s">
        <v>0</v>
      </c>
      <c r="I8" s="125" t="s">
        <v>64</v>
      </c>
      <c r="J8" s="126" t="s">
        <v>140</v>
      </c>
      <c r="K8" s="125" t="s">
        <v>0</v>
      </c>
      <c r="M8" s="126" t="s">
        <v>65</v>
      </c>
      <c r="N8" s="126" t="s">
        <v>140</v>
      </c>
    </row>
    <row r="9" spans="2:14" s="43" customFormat="1" ht="12.75">
      <c r="B9" s="208" t="s">
        <v>66</v>
      </c>
      <c r="C9" s="208"/>
      <c r="D9" s="88"/>
      <c r="E9" s="163">
        <f>SUM(E10:E12)</f>
        <v>2531752622</v>
      </c>
      <c r="F9" s="163">
        <f>SUM(F10:F12)</f>
        <v>604820669</v>
      </c>
      <c r="G9" s="131">
        <f aca="true" t="shared" si="0" ref="G9:G39">IF(E9=0," ",F9/E9)</f>
        <v>0.2388940624547322</v>
      </c>
      <c r="I9" s="163">
        <f>SUM(I10:I12)</f>
        <v>2844413143</v>
      </c>
      <c r="J9" s="163">
        <f>SUM(J10:J12)</f>
        <v>646266993</v>
      </c>
      <c r="K9" s="131">
        <f aca="true" t="shared" si="1" ref="K9:K40">IF(I9=0," ",J9/I9)</f>
        <v>0.22720573999260277</v>
      </c>
      <c r="M9" s="163">
        <f aca="true" t="shared" si="2" ref="M9:M36">+E9-I9</f>
        <v>-312660521</v>
      </c>
      <c r="N9" s="163">
        <f aca="true" t="shared" si="3" ref="N9:N35">+F9-J9</f>
        <v>-41446324</v>
      </c>
    </row>
    <row r="10" spans="2:14" ht="12.75">
      <c r="B10" s="204" t="s">
        <v>67</v>
      </c>
      <c r="C10" s="204"/>
      <c r="D10" s="89"/>
      <c r="E10" s="164">
        <v>2405886321</v>
      </c>
      <c r="F10" s="164">
        <v>575606547</v>
      </c>
      <c r="G10" s="90">
        <f t="shared" si="0"/>
        <v>0.239249270414718</v>
      </c>
      <c r="I10" s="164">
        <v>2671072676</v>
      </c>
      <c r="J10" s="164">
        <v>614590344</v>
      </c>
      <c r="K10" s="90">
        <f t="shared" si="1"/>
        <v>0.2300912099929699</v>
      </c>
      <c r="M10" s="164">
        <f t="shared" si="2"/>
        <v>-265186355</v>
      </c>
      <c r="N10" s="164">
        <f t="shared" si="3"/>
        <v>-38983797</v>
      </c>
    </row>
    <row r="11" spans="2:14" ht="12.75">
      <c r="B11" s="213" t="s">
        <v>68</v>
      </c>
      <c r="C11" s="213"/>
      <c r="D11" s="89"/>
      <c r="E11" s="165">
        <v>13737134</v>
      </c>
      <c r="F11" s="165">
        <v>2246001</v>
      </c>
      <c r="G11" s="91">
        <f t="shared" si="0"/>
        <v>0.16349851431892562</v>
      </c>
      <c r="I11" s="165">
        <v>14495639</v>
      </c>
      <c r="J11" s="165">
        <v>3464637</v>
      </c>
      <c r="K11" s="91">
        <f t="shared" si="1"/>
        <v>0.2390123677886846</v>
      </c>
      <c r="M11" s="165">
        <f t="shared" si="2"/>
        <v>-758505</v>
      </c>
      <c r="N11" s="165">
        <f t="shared" si="3"/>
        <v>-1218636</v>
      </c>
    </row>
    <row r="12" spans="2:14" ht="12.75">
      <c r="B12" s="203" t="s">
        <v>69</v>
      </c>
      <c r="C12" s="203"/>
      <c r="D12" s="89"/>
      <c r="E12" s="165">
        <v>112129167</v>
      </c>
      <c r="F12" s="165">
        <v>26968121</v>
      </c>
      <c r="G12" s="92">
        <f t="shared" si="0"/>
        <v>0.24050942071120532</v>
      </c>
      <c r="I12" s="167">
        <v>158844828</v>
      </c>
      <c r="J12" s="167">
        <v>28212012</v>
      </c>
      <c r="K12" s="92">
        <f t="shared" si="1"/>
        <v>0.17760736912378414</v>
      </c>
      <c r="M12" s="167">
        <f t="shared" si="2"/>
        <v>-46715661</v>
      </c>
      <c r="N12" s="167">
        <f t="shared" si="3"/>
        <v>-1243891</v>
      </c>
    </row>
    <row r="13" spans="2:14" ht="12.75">
      <c r="B13" s="208" t="s">
        <v>70</v>
      </c>
      <c r="C13" s="208"/>
      <c r="D13" s="88"/>
      <c r="E13" s="166">
        <f>SUM(E14:E15)</f>
        <v>174925612</v>
      </c>
      <c r="F13" s="166">
        <f>SUM(F14:F15)</f>
        <v>42224640</v>
      </c>
      <c r="G13" s="131">
        <f t="shared" si="0"/>
        <v>0.2413862642367088</v>
      </c>
      <c r="I13" s="166">
        <f>SUM(I14:I15)</f>
        <v>172337429</v>
      </c>
      <c r="J13" s="166">
        <f>SUM(J14:J15)</f>
        <v>41282091</v>
      </c>
      <c r="K13" s="131">
        <f t="shared" si="1"/>
        <v>0.2395422238775536</v>
      </c>
      <c r="M13" s="166">
        <f t="shared" si="2"/>
        <v>2588183</v>
      </c>
      <c r="N13" s="166">
        <f t="shared" si="3"/>
        <v>942549</v>
      </c>
    </row>
    <row r="14" spans="2:14" ht="12.75">
      <c r="B14" s="204" t="s">
        <v>71</v>
      </c>
      <c r="C14" s="204"/>
      <c r="D14" s="89"/>
      <c r="E14" s="164">
        <v>168430997</v>
      </c>
      <c r="F14" s="164">
        <v>41560582</v>
      </c>
      <c r="G14" s="90">
        <f t="shared" si="0"/>
        <v>0.2467513862665077</v>
      </c>
      <c r="I14" s="164">
        <v>161497495</v>
      </c>
      <c r="J14" s="164">
        <v>40313556</v>
      </c>
      <c r="K14" s="90">
        <f t="shared" si="1"/>
        <v>0.2496234136634751</v>
      </c>
      <c r="M14" s="164">
        <f t="shared" si="2"/>
        <v>6933502</v>
      </c>
      <c r="N14" s="164">
        <f t="shared" si="3"/>
        <v>1247026</v>
      </c>
    </row>
    <row r="15" spans="2:14" ht="12.75">
      <c r="B15" s="203" t="s">
        <v>72</v>
      </c>
      <c r="C15" s="203"/>
      <c r="D15" s="89"/>
      <c r="E15" s="167">
        <v>6494615</v>
      </c>
      <c r="F15" s="167">
        <v>664058</v>
      </c>
      <c r="G15" s="92">
        <f t="shared" si="0"/>
        <v>0.10224747733314446</v>
      </c>
      <c r="I15" s="167">
        <v>10839934</v>
      </c>
      <c r="J15" s="167">
        <v>968535</v>
      </c>
      <c r="K15" s="92">
        <f t="shared" si="1"/>
        <v>0.08934879123802783</v>
      </c>
      <c r="M15" s="167">
        <f t="shared" si="2"/>
        <v>-4345319</v>
      </c>
      <c r="N15" s="167">
        <f t="shared" si="3"/>
        <v>-304477</v>
      </c>
    </row>
    <row r="16" spans="2:14" ht="12.75">
      <c r="B16" s="208" t="s">
        <v>73</v>
      </c>
      <c r="C16" s="208"/>
      <c r="D16" s="88"/>
      <c r="E16" s="166">
        <f>SUM(E17:E18)</f>
        <v>2676307425</v>
      </c>
      <c r="F16" s="166">
        <f>SUM(F17:F18)</f>
        <v>654362617</v>
      </c>
      <c r="G16" s="131">
        <f t="shared" si="0"/>
        <v>0.24450203698104675</v>
      </c>
      <c r="I16" s="166">
        <f>SUM(I17:I18)</f>
        <v>5325195692</v>
      </c>
      <c r="J16" s="166">
        <f>SUM(J17:J18)</f>
        <v>1218106545</v>
      </c>
      <c r="K16" s="131">
        <f t="shared" si="1"/>
        <v>0.22874399655020228</v>
      </c>
      <c r="M16" s="166">
        <f t="shared" si="2"/>
        <v>-2648888267</v>
      </c>
      <c r="N16" s="166">
        <f t="shared" si="3"/>
        <v>-563743928</v>
      </c>
    </row>
    <row r="17" spans="2:14" ht="12.75">
      <c r="B17" s="204" t="s">
        <v>74</v>
      </c>
      <c r="C17" s="204"/>
      <c r="D17" s="89"/>
      <c r="E17" s="164">
        <v>966373902</v>
      </c>
      <c r="F17" s="164">
        <v>223239854</v>
      </c>
      <c r="G17" s="90">
        <f t="shared" si="0"/>
        <v>0.2310077430050465</v>
      </c>
      <c r="I17" s="164">
        <v>2542215814</v>
      </c>
      <c r="J17" s="164">
        <v>516633395</v>
      </c>
      <c r="K17" s="90">
        <f t="shared" si="1"/>
        <v>0.20322169036747248</v>
      </c>
      <c r="M17" s="164">
        <f t="shared" si="2"/>
        <v>-1575841912</v>
      </c>
      <c r="N17" s="164">
        <f t="shared" si="3"/>
        <v>-293393541</v>
      </c>
    </row>
    <row r="18" spans="2:14" ht="12.75">
      <c r="B18" s="203" t="s">
        <v>75</v>
      </c>
      <c r="C18" s="203"/>
      <c r="D18" s="89"/>
      <c r="E18" s="167">
        <v>1709933523</v>
      </c>
      <c r="F18" s="167">
        <v>431122763</v>
      </c>
      <c r="G18" s="92">
        <f t="shared" si="0"/>
        <v>0.25212837645501845</v>
      </c>
      <c r="I18" s="167">
        <v>2782979878</v>
      </c>
      <c r="J18" s="167">
        <v>701473150</v>
      </c>
      <c r="K18" s="92">
        <f t="shared" si="1"/>
        <v>0.2520582903043182</v>
      </c>
      <c r="M18" s="167">
        <f t="shared" si="2"/>
        <v>-1073046355</v>
      </c>
      <c r="N18" s="167">
        <f t="shared" si="3"/>
        <v>-270350387</v>
      </c>
    </row>
    <row r="19" spans="2:14" ht="12.75">
      <c r="B19" s="208" t="s">
        <v>76</v>
      </c>
      <c r="C19" s="208"/>
      <c r="D19" s="88"/>
      <c r="E19" s="166">
        <f>SUM(E20:E21)</f>
        <v>488064000</v>
      </c>
      <c r="F19" s="166">
        <f>SUM(F20:F21)</f>
        <v>408235426</v>
      </c>
      <c r="G19" s="131">
        <f t="shared" si="0"/>
        <v>0.8364383072711775</v>
      </c>
      <c r="I19" s="166">
        <f>SUM(I20:I21)</f>
        <v>670961416</v>
      </c>
      <c r="J19" s="166">
        <f>SUM(J20:J21)</f>
        <v>372839284</v>
      </c>
      <c r="K19" s="131">
        <f t="shared" si="1"/>
        <v>0.5556791718705923</v>
      </c>
      <c r="M19" s="166">
        <f t="shared" si="2"/>
        <v>-182897416</v>
      </c>
      <c r="N19" s="166">
        <f>+F19-J19</f>
        <v>35396142</v>
      </c>
    </row>
    <row r="20" spans="2:14" ht="12.75">
      <c r="B20" s="209" t="s">
        <v>77</v>
      </c>
      <c r="C20" s="209"/>
      <c r="D20" s="89"/>
      <c r="E20" s="168">
        <v>488064000</v>
      </c>
      <c r="F20" s="168">
        <v>408235426</v>
      </c>
      <c r="G20" s="93">
        <f t="shared" si="0"/>
        <v>0.8364383072711775</v>
      </c>
      <c r="I20" s="168">
        <v>670961416</v>
      </c>
      <c r="J20" s="168">
        <v>372839284</v>
      </c>
      <c r="K20" s="93">
        <f t="shared" si="1"/>
        <v>0.5556791718705923</v>
      </c>
      <c r="M20" s="168">
        <f t="shared" si="2"/>
        <v>-182897416</v>
      </c>
      <c r="N20" s="168">
        <f t="shared" si="3"/>
        <v>35396142</v>
      </c>
    </row>
    <row r="21" spans="2:14" ht="12.75">
      <c r="B21" s="212" t="s">
        <v>105</v>
      </c>
      <c r="C21" s="212"/>
      <c r="D21" s="89"/>
      <c r="E21" s="169">
        <v>0</v>
      </c>
      <c r="F21" s="169">
        <v>0</v>
      </c>
      <c r="G21" s="94" t="str">
        <f>IF(E21=0," ",F21/E21)</f>
        <v> </v>
      </c>
      <c r="I21" s="169">
        <v>0</v>
      </c>
      <c r="J21" s="169">
        <v>0</v>
      </c>
      <c r="K21" s="94" t="str">
        <f>IF(I21=0," ",J21/I21)</f>
        <v> </v>
      </c>
      <c r="M21" s="169">
        <f>+E21-I21</f>
        <v>0</v>
      </c>
      <c r="N21" s="169">
        <f>+F21-J21</f>
        <v>0</v>
      </c>
    </row>
    <row r="22" spans="2:14" ht="12.75">
      <c r="B22" s="208" t="s">
        <v>78</v>
      </c>
      <c r="C22" s="208"/>
      <c r="D22" s="88"/>
      <c r="E22" s="166">
        <f>SUM(E23:E27)</f>
        <v>134369274</v>
      </c>
      <c r="F22" s="166">
        <f>SUM(F23:F27)</f>
        <v>21985215</v>
      </c>
      <c r="G22" s="131">
        <f t="shared" si="0"/>
        <v>0.1636178744256667</v>
      </c>
      <c r="I22" s="166">
        <f>SUM(I23:I27)</f>
        <v>99825589</v>
      </c>
      <c r="J22" s="166">
        <f>SUM(J23:J27)</f>
        <v>15487908</v>
      </c>
      <c r="K22" s="131">
        <f t="shared" si="1"/>
        <v>0.15514967810507985</v>
      </c>
      <c r="M22" s="166">
        <f t="shared" si="2"/>
        <v>34543685</v>
      </c>
      <c r="N22" s="166">
        <f t="shared" si="3"/>
        <v>6497307</v>
      </c>
    </row>
    <row r="23" spans="2:14" ht="12.75">
      <c r="B23" s="204" t="s">
        <v>79</v>
      </c>
      <c r="C23" s="204"/>
      <c r="D23" s="89"/>
      <c r="E23" s="164">
        <v>43679</v>
      </c>
      <c r="F23" s="164">
        <v>0</v>
      </c>
      <c r="G23" s="90">
        <f t="shared" si="0"/>
        <v>0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43679</v>
      </c>
      <c r="N23" s="164">
        <f t="shared" si="3"/>
        <v>0</v>
      </c>
    </row>
    <row r="24" spans="2:14" ht="12.75">
      <c r="B24" s="204" t="s">
        <v>80</v>
      </c>
      <c r="C24" s="204"/>
      <c r="D24" s="89"/>
      <c r="E24" s="164">
        <v>14976711</v>
      </c>
      <c r="F24" s="164">
        <v>3783924</v>
      </c>
      <c r="G24" s="90">
        <f t="shared" si="0"/>
        <v>0.25265387039918175</v>
      </c>
      <c r="I24" s="164">
        <v>14935800</v>
      </c>
      <c r="J24" s="164">
        <v>3707301</v>
      </c>
      <c r="K24" s="90">
        <f t="shared" si="1"/>
        <v>0.24821576346764151</v>
      </c>
      <c r="M24" s="164">
        <f t="shared" si="2"/>
        <v>40911</v>
      </c>
      <c r="N24" s="164">
        <f t="shared" si="3"/>
        <v>76623</v>
      </c>
    </row>
    <row r="25" spans="2:14" ht="12.75">
      <c r="B25" s="213" t="s">
        <v>81</v>
      </c>
      <c r="C25" s="213"/>
      <c r="D25" s="89"/>
      <c r="E25" s="165">
        <v>109138</v>
      </c>
      <c r="F25" s="165">
        <v>3312</v>
      </c>
      <c r="G25" s="91">
        <f t="shared" si="0"/>
        <v>0.030346900254723377</v>
      </c>
      <c r="I25" s="165">
        <v>41029</v>
      </c>
      <c r="J25" s="165">
        <v>14544</v>
      </c>
      <c r="K25" s="91">
        <f t="shared" si="1"/>
        <v>0.3544809768700188</v>
      </c>
      <c r="M25" s="165">
        <f t="shared" si="2"/>
        <v>68109</v>
      </c>
      <c r="N25" s="165">
        <f t="shared" si="3"/>
        <v>-11232</v>
      </c>
    </row>
    <row r="26" spans="2:14" ht="12.75">
      <c r="B26" s="213" t="s">
        <v>82</v>
      </c>
      <c r="C26" s="213"/>
      <c r="D26" s="89"/>
      <c r="E26" s="165">
        <v>97121837</v>
      </c>
      <c r="F26" s="165">
        <v>17795075</v>
      </c>
      <c r="G26" s="91">
        <f t="shared" si="0"/>
        <v>0.18322424235035834</v>
      </c>
      <c r="I26" s="165">
        <v>82441169</v>
      </c>
      <c r="J26" s="165">
        <v>11754272</v>
      </c>
      <c r="K26" s="91">
        <f t="shared" si="1"/>
        <v>0.1425776968300874</v>
      </c>
      <c r="M26" s="165">
        <f t="shared" si="2"/>
        <v>14680668</v>
      </c>
      <c r="N26" s="165">
        <f t="shared" si="3"/>
        <v>6040803</v>
      </c>
    </row>
    <row r="27" spans="2:14" ht="12.75">
      <c r="B27" s="203" t="s">
        <v>83</v>
      </c>
      <c r="C27" s="203"/>
      <c r="D27" s="89"/>
      <c r="E27" s="167">
        <v>22117909</v>
      </c>
      <c r="F27" s="167">
        <v>402904</v>
      </c>
      <c r="G27" s="92">
        <f t="shared" si="0"/>
        <v>0.018216188519448197</v>
      </c>
      <c r="I27" s="167">
        <v>2407591</v>
      </c>
      <c r="J27" s="167">
        <v>11791</v>
      </c>
      <c r="K27" s="92">
        <f t="shared" si="1"/>
        <v>0.004897426514719485</v>
      </c>
      <c r="M27" s="167">
        <f t="shared" si="2"/>
        <v>19710318</v>
      </c>
      <c r="N27" s="167">
        <f t="shared" si="3"/>
        <v>391113</v>
      </c>
    </row>
    <row r="28" spans="2:14" ht="12.75">
      <c r="B28" s="208" t="s">
        <v>84</v>
      </c>
      <c r="C28" s="208"/>
      <c r="D28" s="88"/>
      <c r="E28" s="166">
        <f>SUM(E29)</f>
        <v>12</v>
      </c>
      <c r="F28" s="166">
        <f>SUM(F29)</f>
        <v>0</v>
      </c>
      <c r="G28" s="131">
        <f t="shared" si="0"/>
        <v>0</v>
      </c>
      <c r="I28" s="166">
        <f>SUM(I29)</f>
        <v>176190036</v>
      </c>
      <c r="J28" s="166">
        <f>SUM(J29)</f>
        <v>0</v>
      </c>
      <c r="K28" s="131">
        <f t="shared" si="1"/>
        <v>0</v>
      </c>
      <c r="M28" s="166">
        <f t="shared" si="2"/>
        <v>-176190024</v>
      </c>
      <c r="N28" s="166">
        <f t="shared" si="3"/>
        <v>0</v>
      </c>
    </row>
    <row r="29" spans="2:14" ht="12.75">
      <c r="B29" s="211" t="s">
        <v>85</v>
      </c>
      <c r="C29" s="211"/>
      <c r="D29" s="89"/>
      <c r="E29" s="170">
        <v>12</v>
      </c>
      <c r="F29" s="170">
        <v>0</v>
      </c>
      <c r="G29" s="95">
        <f t="shared" si="0"/>
        <v>0</v>
      </c>
      <c r="I29" s="170">
        <v>176190036</v>
      </c>
      <c r="J29" s="170">
        <v>0</v>
      </c>
      <c r="K29" s="95">
        <f t="shared" si="1"/>
        <v>0</v>
      </c>
      <c r="M29" s="170">
        <f t="shared" si="2"/>
        <v>-176190024</v>
      </c>
      <c r="N29" s="170">
        <f t="shared" si="3"/>
        <v>0</v>
      </c>
    </row>
    <row r="30" spans="2:14" ht="12.75">
      <c r="B30" s="208" t="s">
        <v>86</v>
      </c>
      <c r="C30" s="208"/>
      <c r="D30" s="88"/>
      <c r="E30" s="166">
        <f>SUM(E31)</f>
        <v>0</v>
      </c>
      <c r="F30" s="166">
        <f>SUM(F31)</f>
        <v>0</v>
      </c>
      <c r="G30" s="131" t="str">
        <f t="shared" si="0"/>
        <v> </v>
      </c>
      <c r="I30" s="166">
        <f>SUM(I31)</f>
        <v>0</v>
      </c>
      <c r="J30" s="166">
        <f>SUM(J31)</f>
        <v>0</v>
      </c>
      <c r="K30" s="131" t="str">
        <f t="shared" si="1"/>
        <v> </v>
      </c>
      <c r="M30" s="166">
        <f t="shared" si="2"/>
        <v>0</v>
      </c>
      <c r="N30" s="166">
        <f t="shared" si="3"/>
        <v>0</v>
      </c>
    </row>
    <row r="31" spans="2:14" ht="12.75">
      <c r="B31" s="211" t="s">
        <v>87</v>
      </c>
      <c r="C31" s="211"/>
      <c r="D31" s="89"/>
      <c r="E31" s="170">
        <v>0</v>
      </c>
      <c r="F31" s="170">
        <v>0</v>
      </c>
      <c r="G31" s="95" t="str">
        <f t="shared" si="0"/>
        <v> </v>
      </c>
      <c r="I31" s="170">
        <v>0</v>
      </c>
      <c r="J31" s="170">
        <v>0</v>
      </c>
      <c r="K31" s="95" t="str">
        <f t="shared" si="1"/>
        <v> </v>
      </c>
      <c r="M31" s="170">
        <f t="shared" si="2"/>
        <v>0</v>
      </c>
      <c r="N31" s="170">
        <f t="shared" si="3"/>
        <v>0</v>
      </c>
    </row>
    <row r="32" spans="2:14" ht="12.75">
      <c r="B32" s="208" t="s">
        <v>88</v>
      </c>
      <c r="C32" s="208"/>
      <c r="D32" s="88"/>
      <c r="E32" s="166">
        <f>SUM(E33:E39)</f>
        <v>548136284</v>
      </c>
      <c r="F32" s="166">
        <f>SUM(F33:F39)</f>
        <v>94286592</v>
      </c>
      <c r="G32" s="131">
        <f t="shared" si="0"/>
        <v>0.17201304630291542</v>
      </c>
      <c r="I32" s="166">
        <f>SUM(I33:I39)</f>
        <v>794606972</v>
      </c>
      <c r="J32" s="166">
        <f>SUM(J33:J39)</f>
        <v>113855654</v>
      </c>
      <c r="K32" s="131">
        <f t="shared" si="1"/>
        <v>0.14328549586398545</v>
      </c>
      <c r="M32" s="166">
        <f t="shared" si="2"/>
        <v>-246470688</v>
      </c>
      <c r="N32" s="166">
        <f t="shared" si="3"/>
        <v>-19569062</v>
      </c>
    </row>
    <row r="33" spans="2:14" ht="12.75">
      <c r="B33" s="204" t="s">
        <v>89</v>
      </c>
      <c r="C33" s="204"/>
      <c r="D33" s="89"/>
      <c r="E33" s="164">
        <v>0</v>
      </c>
      <c r="F33" s="164">
        <v>0</v>
      </c>
      <c r="G33" s="90" t="str">
        <f t="shared" si="0"/>
        <v> </v>
      </c>
      <c r="I33" s="164">
        <v>0</v>
      </c>
      <c r="J33" s="164">
        <v>0</v>
      </c>
      <c r="K33" s="90" t="str">
        <f t="shared" si="1"/>
        <v> </v>
      </c>
      <c r="M33" s="164">
        <f t="shared" si="2"/>
        <v>0</v>
      </c>
      <c r="N33" s="164">
        <f t="shared" si="3"/>
        <v>0</v>
      </c>
    </row>
    <row r="34" spans="2:14" ht="12.75">
      <c r="B34" s="204" t="s">
        <v>90</v>
      </c>
      <c r="C34" s="204"/>
      <c r="D34" s="89"/>
      <c r="E34" s="164">
        <v>216155964</v>
      </c>
      <c r="F34" s="164">
        <v>54953639</v>
      </c>
      <c r="G34" s="90">
        <f t="shared" si="0"/>
        <v>0.2542314261567171</v>
      </c>
      <c r="I34" s="164">
        <v>319054589</v>
      </c>
      <c r="J34" s="164">
        <v>53583272</v>
      </c>
      <c r="K34" s="90">
        <f t="shared" si="1"/>
        <v>0.16794390003273077</v>
      </c>
      <c r="M34" s="164">
        <f t="shared" si="2"/>
        <v>-102898625</v>
      </c>
      <c r="N34" s="164">
        <f t="shared" si="3"/>
        <v>1370367</v>
      </c>
    </row>
    <row r="35" spans="2:14" ht="12.75">
      <c r="B35" s="214" t="s">
        <v>91</v>
      </c>
      <c r="C35" s="215"/>
      <c r="D35" s="89"/>
      <c r="E35" s="165">
        <v>249937263</v>
      </c>
      <c r="F35" s="165">
        <v>26175219</v>
      </c>
      <c r="G35" s="91">
        <f t="shared" si="0"/>
        <v>0.10472715707061256</v>
      </c>
      <c r="I35" s="165">
        <v>371666166</v>
      </c>
      <c r="J35" s="165">
        <v>37862350</v>
      </c>
      <c r="K35" s="91">
        <f t="shared" si="1"/>
        <v>0.10187193095214375</v>
      </c>
      <c r="M35" s="165">
        <f t="shared" si="2"/>
        <v>-121728903</v>
      </c>
      <c r="N35" s="165">
        <f t="shared" si="3"/>
        <v>-11687131</v>
      </c>
    </row>
    <row r="36" spans="2:14" ht="12.75">
      <c r="B36" s="112" t="s">
        <v>92</v>
      </c>
      <c r="C36" s="113"/>
      <c r="D36" s="89"/>
      <c r="E36" s="165">
        <v>0</v>
      </c>
      <c r="F36" s="165">
        <v>0</v>
      </c>
      <c r="G36" s="91" t="str">
        <f t="shared" si="0"/>
        <v> </v>
      </c>
      <c r="I36" s="165">
        <v>0</v>
      </c>
      <c r="J36" s="165">
        <v>0</v>
      </c>
      <c r="K36" s="91" t="str">
        <f t="shared" si="1"/>
        <v> </v>
      </c>
      <c r="M36" s="165">
        <f t="shared" si="2"/>
        <v>0</v>
      </c>
      <c r="N36" s="165">
        <f aca="true" t="shared" si="4" ref="N36:N41">+F36-J36</f>
        <v>0</v>
      </c>
    </row>
    <row r="37" spans="2:14" ht="12.75">
      <c r="B37" s="213" t="s">
        <v>93</v>
      </c>
      <c r="C37" s="213"/>
      <c r="D37" s="89"/>
      <c r="E37" s="165">
        <v>2851634</v>
      </c>
      <c r="F37" s="165">
        <v>549522</v>
      </c>
      <c r="G37" s="91">
        <f t="shared" si="0"/>
        <v>0.19270425307034494</v>
      </c>
      <c r="I37" s="165">
        <v>1437112</v>
      </c>
      <c r="J37" s="165">
        <v>158137</v>
      </c>
      <c r="K37" s="91">
        <f t="shared" si="1"/>
        <v>0.11003804853066428</v>
      </c>
      <c r="M37" s="165">
        <f>+E37-I37</f>
        <v>1414522</v>
      </c>
      <c r="N37" s="165">
        <f t="shared" si="4"/>
        <v>391385</v>
      </c>
    </row>
    <row r="38" spans="2:14" ht="12.75">
      <c r="B38" s="213" t="s">
        <v>94</v>
      </c>
      <c r="C38" s="213"/>
      <c r="D38" s="89"/>
      <c r="E38" s="165">
        <v>2062476</v>
      </c>
      <c r="F38" s="165">
        <v>348068</v>
      </c>
      <c r="G38" s="91">
        <f t="shared" si="0"/>
        <v>0.16876220620264187</v>
      </c>
      <c r="I38" s="165">
        <v>19550982</v>
      </c>
      <c r="J38" s="165">
        <v>14683703</v>
      </c>
      <c r="K38" s="91">
        <f t="shared" si="1"/>
        <v>0.7510468272130781</v>
      </c>
      <c r="M38" s="165">
        <f>+E38-I38</f>
        <v>-17488506</v>
      </c>
      <c r="N38" s="165">
        <f t="shared" si="4"/>
        <v>-14335635</v>
      </c>
    </row>
    <row r="39" spans="2:14" ht="12.75">
      <c r="B39" s="212" t="s">
        <v>95</v>
      </c>
      <c r="C39" s="212"/>
      <c r="D39" s="89"/>
      <c r="E39" s="169">
        <v>77128947</v>
      </c>
      <c r="F39" s="169">
        <v>12260144</v>
      </c>
      <c r="G39" s="94">
        <f t="shared" si="0"/>
        <v>0.1589564550907197</v>
      </c>
      <c r="I39" s="169">
        <v>82898123</v>
      </c>
      <c r="J39" s="169">
        <f>7568193-1</f>
        <v>7568192</v>
      </c>
      <c r="K39" s="94">
        <f t="shared" si="1"/>
        <v>0.09129509482379956</v>
      </c>
      <c r="M39" s="169">
        <f>+E39-I39</f>
        <v>-5769176</v>
      </c>
      <c r="N39" s="169">
        <f t="shared" si="4"/>
        <v>4691952</v>
      </c>
    </row>
    <row r="40" spans="5:14" ht="3.75" customHeight="1">
      <c r="E40" s="171"/>
      <c r="F40" s="171"/>
      <c r="G40" s="86"/>
      <c r="I40" s="171">
        <v>0</v>
      </c>
      <c r="J40" s="171" t="s">
        <v>134</v>
      </c>
      <c r="K40" s="86" t="str">
        <f t="shared" si="1"/>
        <v> </v>
      </c>
      <c r="M40" s="171"/>
      <c r="N40" s="171"/>
    </row>
    <row r="41" spans="2:14" ht="21" customHeight="1">
      <c r="B41" s="210" t="s">
        <v>96</v>
      </c>
      <c r="C41" s="210"/>
      <c r="D41" s="45"/>
      <c r="E41" s="166">
        <f>+E32+E30+E28+E22+E19+E16+E13+E9</f>
        <v>6553555229</v>
      </c>
      <c r="F41" s="166">
        <f>+F32+F30+F28+F22+F19+F16+F13+F9</f>
        <v>1825915159</v>
      </c>
      <c r="G41" s="131">
        <f>IF(E41=0," ",F41/E41)</f>
        <v>0.27861444593007795</v>
      </c>
      <c r="I41" s="166">
        <f>+I32+I30+I28+I22+I19+I16+I13+I9</f>
        <v>10083530277</v>
      </c>
      <c r="J41" s="166">
        <f>+J32+J30+J28+J22+J19+J16+J13+J9</f>
        <v>2407838475</v>
      </c>
      <c r="K41" s="131">
        <f>IF(I41=0," ",J41/I41)</f>
        <v>0.23878923441050723</v>
      </c>
      <c r="M41" s="166">
        <f>+E41-I41</f>
        <v>-3529975048</v>
      </c>
      <c r="N41" s="166">
        <f t="shared" si="4"/>
        <v>-581923316</v>
      </c>
    </row>
    <row r="42" ht="12.75">
      <c r="B42" s="65" t="s">
        <v>146</v>
      </c>
    </row>
    <row r="43" ht="12.75">
      <c r="B43" s="64" t="s">
        <v>143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3" width="13.7109375" style="37" bestFit="1" customWidth="1"/>
    <col min="4" max="4" width="11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9.710937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5" t="s">
        <v>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18.75">
      <c r="A2" s="223" t="s">
        <v>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5">
      <c r="A3" s="224" t="s">
        <v>116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6" t="s">
        <v>26</v>
      </c>
      <c r="C8" s="227"/>
      <c r="D8" s="228"/>
      <c r="E8" s="226" t="s">
        <v>141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8"/>
    </row>
    <row r="9" spans="1:23" ht="22.5" customHeight="1">
      <c r="A9" s="229" t="s">
        <v>133</v>
      </c>
      <c r="B9" s="234" t="s">
        <v>24</v>
      </c>
      <c r="C9" s="235"/>
      <c r="D9" s="236"/>
      <c r="E9" s="234" t="s">
        <v>28</v>
      </c>
      <c r="F9" s="235"/>
      <c r="G9" s="236"/>
      <c r="H9" s="220" t="s">
        <v>29</v>
      </c>
      <c r="I9" s="221"/>
      <c r="J9" s="222"/>
      <c r="K9" s="220" t="s">
        <v>135</v>
      </c>
      <c r="L9" s="221"/>
      <c r="M9" s="222"/>
      <c r="N9" s="220" t="s">
        <v>30</v>
      </c>
      <c r="O9" s="221"/>
      <c r="P9" s="222"/>
      <c r="Q9" s="220" t="s">
        <v>138</v>
      </c>
      <c r="R9" s="221"/>
      <c r="S9" s="222"/>
      <c r="T9" s="231" t="s">
        <v>4</v>
      </c>
      <c r="U9" s="232"/>
      <c r="V9" s="232"/>
      <c r="W9" s="233"/>
    </row>
    <row r="10" spans="1:23" ht="15">
      <c r="A10" s="230"/>
      <c r="B10" s="133">
        <v>2019</v>
      </c>
      <c r="C10" s="134">
        <v>2020</v>
      </c>
      <c r="D10" s="135" t="s">
        <v>13</v>
      </c>
      <c r="E10" s="133">
        <v>2019</v>
      </c>
      <c r="F10" s="191">
        <v>2020</v>
      </c>
      <c r="G10" s="135" t="s">
        <v>13</v>
      </c>
      <c r="H10" s="133">
        <v>2019</v>
      </c>
      <c r="I10" s="191">
        <v>2020</v>
      </c>
      <c r="J10" s="135" t="s">
        <v>13</v>
      </c>
      <c r="K10" s="133">
        <v>2019</v>
      </c>
      <c r="L10" s="191">
        <v>2020</v>
      </c>
      <c r="M10" s="135" t="s">
        <v>13</v>
      </c>
      <c r="N10" s="133">
        <v>2019</v>
      </c>
      <c r="O10" s="191">
        <v>2020</v>
      </c>
      <c r="P10" s="135" t="s">
        <v>13</v>
      </c>
      <c r="Q10" s="133">
        <v>2019</v>
      </c>
      <c r="R10" s="191">
        <v>2020</v>
      </c>
      <c r="S10" s="135" t="s">
        <v>13</v>
      </c>
      <c r="T10" s="133">
        <v>2019</v>
      </c>
      <c r="U10" s="191">
        <v>2020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6005418933</v>
      </c>
      <c r="C12" s="173">
        <f>SUM(C14:C18)</f>
        <v>9112733269</v>
      </c>
      <c r="D12" s="174">
        <f>+C12-B12</f>
        <v>3107314336</v>
      </c>
      <c r="E12" s="172">
        <f>SUM(E14:E18)</f>
        <v>1532827786</v>
      </c>
      <c r="F12" s="173">
        <f>SUM(F14:F18)</f>
        <v>2048309807</v>
      </c>
      <c r="G12" s="174">
        <f>+F12-E12</f>
        <v>515482021</v>
      </c>
      <c r="H12" s="172">
        <f>SUM(H14:H18)</f>
        <v>78453426</v>
      </c>
      <c r="I12" s="175">
        <f>SUM(I14:I18)</f>
        <v>51119074</v>
      </c>
      <c r="J12" s="176">
        <f>+I12-H12</f>
        <v>-27334352</v>
      </c>
      <c r="K12" s="172">
        <f>SUM(K14:K18)</f>
        <v>0</v>
      </c>
      <c r="L12" s="173">
        <f>SUM(L14:L18)</f>
        <v>67574846</v>
      </c>
      <c r="M12" s="174">
        <f>+L12-K12</f>
        <v>67574846</v>
      </c>
      <c r="N12" s="172">
        <f>SUM(N14:N18)</f>
        <v>120009397</v>
      </c>
      <c r="O12" s="173">
        <f>SUM(O14:O18)</f>
        <v>126979096</v>
      </c>
      <c r="P12" s="174">
        <f>+O12-N12</f>
        <v>6969699</v>
      </c>
      <c r="Q12" s="172">
        <f>SUM(Q14:Q18)</f>
        <v>337959</v>
      </c>
      <c r="R12" s="173">
        <f>SUM(R14:R18)</f>
        <v>0</v>
      </c>
      <c r="S12" s="174">
        <f>+R12-Q12</f>
        <v>-337959</v>
      </c>
      <c r="T12" s="172">
        <f>SUM(T14:T18)</f>
        <v>1731628568</v>
      </c>
      <c r="U12" s="173">
        <f>SUM(U14:U18)</f>
        <v>2293982823</v>
      </c>
      <c r="V12" s="173">
        <f>+U12-T12</f>
        <v>562354255</v>
      </c>
      <c r="W12" s="101">
        <f>IF(T12=0,"",V12/T12)</f>
        <v>0.32475454921000124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2531752622</v>
      </c>
      <c r="C14" s="178">
        <f>+Egresos_1!J20</f>
        <v>2844413143</v>
      </c>
      <c r="D14" s="179">
        <f>+C14-B14</f>
        <v>312660521</v>
      </c>
      <c r="E14" s="177">
        <v>604513306</v>
      </c>
      <c r="F14" s="178">
        <v>633811171</v>
      </c>
      <c r="G14" s="179">
        <f>+F14-E14</f>
        <v>29297865</v>
      </c>
      <c r="H14" s="177">
        <v>271548</v>
      </c>
      <c r="I14" s="178">
        <v>9536</v>
      </c>
      <c r="J14" s="179">
        <f>+I14-H14</f>
        <v>-262012</v>
      </c>
      <c r="K14" s="177">
        <v>0</v>
      </c>
      <c r="L14" s="178">
        <v>12446286</v>
      </c>
      <c r="M14" s="179">
        <f>+L14-K14</f>
        <v>12446286</v>
      </c>
      <c r="N14" s="177">
        <v>35815</v>
      </c>
      <c r="O14" s="178">
        <v>0</v>
      </c>
      <c r="P14" s="179">
        <f>+O14-N14</f>
        <v>-35815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604820669</v>
      </c>
      <c r="U14" s="178">
        <f t="shared" si="1"/>
        <v>646266993</v>
      </c>
      <c r="V14" s="178">
        <f>+U14-T14</f>
        <v>41446324</v>
      </c>
      <c r="W14" s="100">
        <f t="shared" si="0"/>
        <v>0.06852663297457515</v>
      </c>
      <c r="Y14" s="39"/>
    </row>
    <row r="15" spans="1:25" ht="15">
      <c r="A15" s="114" t="s">
        <v>37</v>
      </c>
      <c r="B15" s="177">
        <f>+Egresos_1!F21</f>
        <v>174925612</v>
      </c>
      <c r="C15" s="178">
        <f>+Egresos_1!J21</f>
        <v>172337429</v>
      </c>
      <c r="D15" s="179">
        <f>+C15-B15</f>
        <v>-2588183</v>
      </c>
      <c r="E15" s="177">
        <v>42205154</v>
      </c>
      <c r="F15" s="178">
        <v>41133059</v>
      </c>
      <c r="G15" s="179">
        <f>+F15-E15</f>
        <v>-1072095</v>
      </c>
      <c r="H15" s="177">
        <v>19486</v>
      </c>
      <c r="I15" s="178">
        <v>149032</v>
      </c>
      <c r="J15" s="179">
        <f>+I15-H15</f>
        <v>129546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42224640</v>
      </c>
      <c r="U15" s="178">
        <f t="shared" si="1"/>
        <v>41282091</v>
      </c>
      <c r="V15" s="178">
        <f>+U15-T15</f>
        <v>-942549</v>
      </c>
      <c r="W15" s="100">
        <f t="shared" si="0"/>
        <v>-0.022322250704801747</v>
      </c>
      <c r="Y15" s="39"/>
    </row>
    <row r="16" spans="1:25" ht="15">
      <c r="A16" s="114" t="s">
        <v>38</v>
      </c>
      <c r="B16" s="177">
        <f>+Egresos_1!F22</f>
        <v>2676307425</v>
      </c>
      <c r="C16" s="178">
        <f>+Egresos_1!J22</f>
        <v>5325195692</v>
      </c>
      <c r="D16" s="179">
        <f>+C16-B16</f>
        <v>2648888267</v>
      </c>
      <c r="E16" s="177">
        <v>462606455</v>
      </c>
      <c r="F16" s="178">
        <v>985272935</v>
      </c>
      <c r="G16" s="179">
        <f>+F16-E16</f>
        <v>522666480</v>
      </c>
      <c r="H16" s="177">
        <v>71444621</v>
      </c>
      <c r="I16" s="178">
        <v>50725954</v>
      </c>
      <c r="J16" s="179">
        <f>+I16-H16</f>
        <v>-20718667</v>
      </c>
      <c r="K16" s="177">
        <v>0</v>
      </c>
      <c r="L16" s="178">
        <v>55128560</v>
      </c>
      <c r="M16" s="179">
        <f>+L16-K16</f>
        <v>55128560</v>
      </c>
      <c r="N16" s="177">
        <v>119973582</v>
      </c>
      <c r="O16" s="178">
        <v>126979096</v>
      </c>
      <c r="P16" s="179">
        <f>+O16-N16</f>
        <v>7005514</v>
      </c>
      <c r="Q16" s="177">
        <v>337959</v>
      </c>
      <c r="R16" s="178">
        <v>0</v>
      </c>
      <c r="S16" s="179">
        <f>+R16-Q16</f>
        <v>-337959</v>
      </c>
      <c r="T16" s="177">
        <f t="shared" si="1"/>
        <v>654362617</v>
      </c>
      <c r="U16" s="178">
        <f t="shared" si="1"/>
        <v>1218106545</v>
      </c>
      <c r="V16" s="178">
        <f>+U16-T16</f>
        <v>563743928</v>
      </c>
      <c r="W16" s="100">
        <f>IF(T16=0,"",V16/T16)</f>
        <v>0.8615160972742427</v>
      </c>
      <c r="Y16" s="39"/>
    </row>
    <row r="17" spans="1:25" ht="15">
      <c r="A17" s="114" t="s">
        <v>107</v>
      </c>
      <c r="B17" s="177">
        <f>+Egresos_1!F23</f>
        <v>488064000</v>
      </c>
      <c r="C17" s="178">
        <f>+Egresos_1!J23</f>
        <v>670961416</v>
      </c>
      <c r="D17" s="179">
        <f>+C17-B17</f>
        <v>182897416</v>
      </c>
      <c r="E17" s="177">
        <v>402092366</v>
      </c>
      <c r="F17" s="178">
        <v>372808390</v>
      </c>
      <c r="G17" s="179">
        <f>+F17-E17</f>
        <v>-29283976</v>
      </c>
      <c r="H17" s="177">
        <v>6143060</v>
      </c>
      <c r="I17" s="178">
        <v>30895</v>
      </c>
      <c r="J17" s="179">
        <f>+I17-H17</f>
        <v>-6112165</v>
      </c>
      <c r="K17" s="177">
        <v>0</v>
      </c>
      <c r="L17" s="178">
        <v>0</v>
      </c>
      <c r="M17" s="179">
        <f>+L17-K17</f>
        <v>0</v>
      </c>
      <c r="N17" s="177">
        <v>0</v>
      </c>
      <c r="O17" s="178">
        <v>0</v>
      </c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408235426</v>
      </c>
      <c r="U17" s="178">
        <f t="shared" si="1"/>
        <v>372839285</v>
      </c>
      <c r="V17" s="178">
        <f>+U17-T17</f>
        <v>-35396141</v>
      </c>
      <c r="W17" s="100">
        <f>IF(T17=0,"",V17/T17)</f>
        <v>-0.0867052165139632</v>
      </c>
      <c r="Y17" s="39"/>
    </row>
    <row r="18" spans="1:25" ht="15">
      <c r="A18" s="114" t="s">
        <v>61</v>
      </c>
      <c r="B18" s="177">
        <f>+Egresos_1!F24</f>
        <v>134369274</v>
      </c>
      <c r="C18" s="178">
        <f>+Egresos_1!J24</f>
        <v>99825589</v>
      </c>
      <c r="D18" s="179">
        <f>+C18-B18</f>
        <v>-34543685</v>
      </c>
      <c r="E18" s="177">
        <v>21410505</v>
      </c>
      <c r="F18" s="178">
        <v>15284252</v>
      </c>
      <c r="G18" s="179">
        <f>+F18-E18</f>
        <v>-6126253</v>
      </c>
      <c r="H18" s="177">
        <v>574711</v>
      </c>
      <c r="I18" s="178">
        <v>203657</v>
      </c>
      <c r="J18" s="179">
        <f>+I18-H18</f>
        <v>-371054</v>
      </c>
      <c r="K18" s="177">
        <v>0</v>
      </c>
      <c r="L18" s="178">
        <v>0</v>
      </c>
      <c r="M18" s="179">
        <f>+L18-K18</f>
        <v>0</v>
      </c>
      <c r="N18" s="177">
        <v>0</v>
      </c>
      <c r="O18" s="178">
        <v>0</v>
      </c>
      <c r="P18" s="179">
        <f>+O18-N18</f>
        <v>0</v>
      </c>
      <c r="Q18" s="177">
        <v>0</v>
      </c>
      <c r="R18" s="178">
        <v>0</v>
      </c>
      <c r="S18" s="179">
        <f>+R18-Q18</f>
        <v>0</v>
      </c>
      <c r="T18" s="177">
        <f t="shared" si="1"/>
        <v>21985216</v>
      </c>
      <c r="U18" s="178">
        <f t="shared" si="1"/>
        <v>15487909</v>
      </c>
      <c r="V18" s="178">
        <f>+U18-T18</f>
        <v>-6497307</v>
      </c>
      <c r="W18" s="100">
        <f>IF(T18=0,"",V18/T18)</f>
        <v>-0.2955307330162233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548136296</v>
      </c>
      <c r="C20" s="175">
        <f>+C22+C23</f>
        <v>970797008</v>
      </c>
      <c r="D20" s="174">
        <f>+C20-B20</f>
        <v>422660712</v>
      </c>
      <c r="E20" s="172">
        <f>+E22+E23</f>
        <v>82512037</v>
      </c>
      <c r="F20" s="175">
        <f>+F22+F23</f>
        <v>105810524</v>
      </c>
      <c r="G20" s="174">
        <f>+F20-E20</f>
        <v>23298487</v>
      </c>
      <c r="H20" s="172">
        <f>+H22+H23</f>
        <v>8463338</v>
      </c>
      <c r="I20" s="175">
        <f>+I22+I23</f>
        <v>786216</v>
      </c>
      <c r="J20" s="176">
        <f>+I20-H20</f>
        <v>-7677122</v>
      </c>
      <c r="K20" s="172">
        <f>+K22+K23</f>
        <v>874659</v>
      </c>
      <c r="L20" s="175">
        <f>+L22+L23</f>
        <v>5262453</v>
      </c>
      <c r="M20" s="176">
        <f>+L20-K20</f>
        <v>4387794</v>
      </c>
      <c r="N20" s="172">
        <f>+N22+N23</f>
        <v>2436557</v>
      </c>
      <c r="O20" s="175">
        <f>+O22+O23</f>
        <v>1996459</v>
      </c>
      <c r="P20" s="174">
        <f>+O20-N20</f>
        <v>-440098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94286591</v>
      </c>
      <c r="U20" s="175">
        <f>+U22+U23</f>
        <v>113855652</v>
      </c>
      <c r="V20" s="173">
        <f>+U20-T20</f>
        <v>19569061</v>
      </c>
      <c r="W20" s="101">
        <f t="shared" si="0"/>
        <v>0.20754871708109587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12</v>
      </c>
      <c r="C22" s="178">
        <f>+Egresos_1!J26</f>
        <v>176190036</v>
      </c>
      <c r="D22" s="179">
        <f>+C22-B22</f>
        <v>176190024</v>
      </c>
      <c r="E22" s="177">
        <v>0</v>
      </c>
      <c r="F22" s="178">
        <v>0</v>
      </c>
      <c r="G22" s="179">
        <f>+F22-E22</f>
        <v>0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0</v>
      </c>
      <c r="U22" s="182">
        <f>+F22+I22+L22+O22+R22</f>
        <v>0</v>
      </c>
      <c r="V22" s="178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2">
        <f>+B24+B25</f>
        <v>548136284</v>
      </c>
      <c r="C23" s="173">
        <f>+C24+C25</f>
        <v>794606972</v>
      </c>
      <c r="D23" s="174">
        <f>+C23-B23</f>
        <v>246470688</v>
      </c>
      <c r="E23" s="172">
        <f>+E24+E25</f>
        <v>82512037</v>
      </c>
      <c r="F23" s="173">
        <f>+F24+F25</f>
        <v>105810524</v>
      </c>
      <c r="G23" s="174">
        <f>+F23-E23</f>
        <v>23298487</v>
      </c>
      <c r="H23" s="172">
        <f>+H24+H25</f>
        <v>8463338</v>
      </c>
      <c r="I23" s="173">
        <f>+I24+I25</f>
        <v>786216</v>
      </c>
      <c r="J23" s="174">
        <f>+I23-H23</f>
        <v>-7677122</v>
      </c>
      <c r="K23" s="172">
        <f>+K24+K25</f>
        <v>874659</v>
      </c>
      <c r="L23" s="173">
        <f>+L24+L25</f>
        <v>5262453</v>
      </c>
      <c r="M23" s="174">
        <f>+L23-K23</f>
        <v>4387794</v>
      </c>
      <c r="N23" s="172">
        <f>+N24+N25</f>
        <v>2436557</v>
      </c>
      <c r="O23" s="173">
        <f>+O24+O25</f>
        <v>1996459</v>
      </c>
      <c r="P23" s="174">
        <f>+O23-N23</f>
        <v>-440098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+E23+H23+K23+N23</f>
        <v>94286591</v>
      </c>
      <c r="U23" s="173">
        <f>+F23+I23+L23+O23</f>
        <v>113855652</v>
      </c>
      <c r="V23" s="173">
        <f>+U23-T23</f>
        <v>19569061</v>
      </c>
      <c r="W23" s="101">
        <f t="shared" si="0"/>
        <v>0.20754871708109587</v>
      </c>
      <c r="Y23" s="39"/>
    </row>
    <row r="24" spans="1:25" ht="15">
      <c r="A24" s="115" t="s">
        <v>57</v>
      </c>
      <c r="B24" s="177">
        <f>+Egresos_1!F29</f>
        <v>460087812</v>
      </c>
      <c r="C24" s="178">
        <f>+Egresos_1!J29</f>
        <v>643930288</v>
      </c>
      <c r="D24" s="179">
        <f>+C24-B24</f>
        <v>183842476</v>
      </c>
      <c r="E24" s="177">
        <v>74922599</v>
      </c>
      <c r="F24" s="183">
        <f>84123112-1</f>
        <v>84123111</v>
      </c>
      <c r="G24" s="179">
        <f>+F24-E24</f>
        <v>9200512</v>
      </c>
      <c r="H24" s="177">
        <v>4441327</v>
      </c>
      <c r="I24" s="183">
        <v>0</v>
      </c>
      <c r="J24" s="179">
        <f>+I24-H24</f>
        <v>-4441327</v>
      </c>
      <c r="K24" s="177">
        <v>874659</v>
      </c>
      <c r="L24" s="183">
        <v>5262453</v>
      </c>
      <c r="M24" s="179">
        <f>+L24-K24</f>
        <v>4387794</v>
      </c>
      <c r="N24" s="177">
        <v>624727</v>
      </c>
      <c r="O24" s="183">
        <v>22500</v>
      </c>
      <c r="P24" s="179">
        <f>+O24-N24</f>
        <v>-602227</v>
      </c>
      <c r="Q24" s="177">
        <v>0</v>
      </c>
      <c r="R24" s="183">
        <v>0</v>
      </c>
      <c r="S24" s="179">
        <f>+R24-Q24</f>
        <v>0</v>
      </c>
      <c r="T24" s="177">
        <f>+E24+H24+K24+N24+Q24</f>
        <v>80863312</v>
      </c>
      <c r="U24" s="178">
        <f>+F24+I24+L24+O24+R24</f>
        <v>89408064</v>
      </c>
      <c r="V24" s="178">
        <f>+U24-T24</f>
        <v>8544752</v>
      </c>
      <c r="W24" s="100">
        <f t="shared" si="0"/>
        <v>0.10566908266136811</v>
      </c>
      <c r="Y24" s="39"/>
    </row>
    <row r="25" spans="1:25" ht="15.75" thickBot="1">
      <c r="A25" s="116" t="s">
        <v>58</v>
      </c>
      <c r="B25" s="177">
        <f>+Egresos_1!F30</f>
        <v>88048472</v>
      </c>
      <c r="C25" s="183">
        <f>+Egresos_1!J30</f>
        <v>150676684</v>
      </c>
      <c r="D25" s="179">
        <f>+C25-B25</f>
        <v>62628212</v>
      </c>
      <c r="E25" s="177">
        <v>7589438</v>
      </c>
      <c r="F25" s="184">
        <v>21687413</v>
      </c>
      <c r="G25" s="179">
        <f>+F25-E25</f>
        <v>14097975</v>
      </c>
      <c r="H25" s="180">
        <v>4022011</v>
      </c>
      <c r="I25" s="181">
        <v>786216</v>
      </c>
      <c r="J25" s="179">
        <f>+I25-H25</f>
        <v>-3235795</v>
      </c>
      <c r="K25" s="177">
        <v>0</v>
      </c>
      <c r="L25" s="184">
        <v>0</v>
      </c>
      <c r="M25" s="179">
        <f>+L25-K25</f>
        <v>0</v>
      </c>
      <c r="N25" s="177">
        <v>1811830</v>
      </c>
      <c r="O25" s="184">
        <f>1996459-22500</f>
        <v>1973959</v>
      </c>
      <c r="P25" s="179">
        <f>+O25-N25</f>
        <v>162129</v>
      </c>
      <c r="Q25" s="177">
        <v>0</v>
      </c>
      <c r="R25" s="184">
        <v>0</v>
      </c>
      <c r="S25" s="179">
        <f>+R25-Q25</f>
        <v>0</v>
      </c>
      <c r="T25" s="177">
        <f>+E25+H25+K25+N25+Q25</f>
        <v>13423279</v>
      </c>
      <c r="U25" s="178">
        <f>+F25+I25+L25+O25+R25</f>
        <v>24447588</v>
      </c>
      <c r="V25" s="178">
        <f>+U25-T25</f>
        <v>11024309</v>
      </c>
      <c r="W25" s="100">
        <f t="shared" si="0"/>
        <v>0.821282862406421</v>
      </c>
      <c r="Y25" s="39"/>
    </row>
    <row r="26" spans="1:23" ht="15.75" thickBot="1">
      <c r="A26" s="138" t="s">
        <v>17</v>
      </c>
      <c r="B26" s="185">
        <f>+B12+B20</f>
        <v>6553555229</v>
      </c>
      <c r="C26" s="185">
        <f>+C12+C20</f>
        <v>10083530277</v>
      </c>
      <c r="D26" s="186">
        <f>+C26-B26</f>
        <v>3529975048</v>
      </c>
      <c r="E26" s="185">
        <f>+E12+E20</f>
        <v>1615339823</v>
      </c>
      <c r="F26" s="187">
        <f>+F12+F20</f>
        <v>2154120331</v>
      </c>
      <c r="G26" s="186">
        <f>+F26-E26</f>
        <v>538780508</v>
      </c>
      <c r="H26" s="185">
        <f>+H12+H20</f>
        <v>86916764</v>
      </c>
      <c r="I26" s="188">
        <f>+I12+I20</f>
        <v>51905290</v>
      </c>
      <c r="J26" s="186">
        <f>+I26-H26</f>
        <v>-35011474</v>
      </c>
      <c r="K26" s="185">
        <f>+K12+K20</f>
        <v>874659</v>
      </c>
      <c r="L26" s="188">
        <f>+L12+L20</f>
        <v>72837299</v>
      </c>
      <c r="M26" s="189">
        <f>+L26-K26</f>
        <v>71962640</v>
      </c>
      <c r="N26" s="185">
        <f>+N12+N20</f>
        <v>122445954</v>
      </c>
      <c r="O26" s="187">
        <f>+O12+O20</f>
        <v>128975555</v>
      </c>
      <c r="P26" s="186">
        <f>+O26-N26</f>
        <v>6529601</v>
      </c>
      <c r="Q26" s="185">
        <f>+Q12+Q20</f>
        <v>337959</v>
      </c>
      <c r="R26" s="187">
        <f>+R12+R20</f>
        <v>0</v>
      </c>
      <c r="S26" s="186">
        <f>+R26-Q26</f>
        <v>-337959</v>
      </c>
      <c r="T26" s="185">
        <f>+T12+T20</f>
        <v>1825915159</v>
      </c>
      <c r="U26" s="187">
        <f>+U12+U20</f>
        <v>2407838475</v>
      </c>
      <c r="V26" s="187">
        <f>+U26-T26</f>
        <v>581923316</v>
      </c>
      <c r="W26" s="137">
        <f>IF(T26=0,"",V26/T26)</f>
        <v>0.31870227547631635</v>
      </c>
    </row>
    <row r="27" spans="1:23" ht="15">
      <c r="A27" s="65" t="s">
        <v>146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143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42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40"/>
    </row>
    <row r="30" spans="5:15" ht="1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</sheetData>
  <sheetProtection/>
  <mergeCells count="13">
    <mergeCell ref="E9:G9"/>
    <mergeCell ref="Q9:S9"/>
    <mergeCell ref="H9:J9"/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tabSelected="1" zoomScale="145" zoomScaleNormal="145" zoomScalePageLayoutView="0" workbookViewId="0" topLeftCell="A1">
      <selection activeCell="D12" sqref="D12:E2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4" width="10.7109375" style="6" customWidth="1"/>
    <col min="5" max="5" width="10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0.00390625" style="6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0.421875" style="6" bestFit="1" customWidth="1"/>
    <col min="20" max="20" width="10.8515625" style="6" bestFit="1" customWidth="1"/>
    <col min="21" max="21" width="11.421875" style="105" bestFit="1" customWidth="1"/>
    <col min="22" max="22" width="9.57421875" style="105" bestFit="1" customWidth="1"/>
    <col min="23" max="16384" width="16.57421875" style="6" customWidth="1"/>
  </cols>
  <sheetData>
    <row r="1" spans="2:22" ht="14.25">
      <c r="B1" s="242" t="s">
        <v>148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2:23" ht="12.75">
      <c r="B2" s="243" t="s">
        <v>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"/>
    </row>
    <row r="3" spans="2:23" ht="15.75">
      <c r="B3" s="244" t="s">
        <v>116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9" t="s">
        <v>60</v>
      </c>
      <c r="B7" s="239" t="s">
        <v>136</v>
      </c>
      <c r="C7" s="8"/>
      <c r="D7" s="226" t="s">
        <v>26</v>
      </c>
      <c r="E7" s="227"/>
      <c r="F7" s="228"/>
      <c r="G7" s="226" t="s">
        <v>142</v>
      </c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8"/>
    </row>
    <row r="8" spans="1:22" ht="16.5" customHeight="1">
      <c r="A8" s="240"/>
      <c r="B8" s="240"/>
      <c r="C8" s="17"/>
      <c r="D8" s="245" t="s">
        <v>59</v>
      </c>
      <c r="E8" s="246"/>
      <c r="F8" s="247"/>
      <c r="G8" s="220" t="s">
        <v>19</v>
      </c>
      <c r="H8" s="221"/>
      <c r="I8" s="222"/>
      <c r="J8" s="220" t="s">
        <v>118</v>
      </c>
      <c r="K8" s="221"/>
      <c r="L8" s="222"/>
      <c r="M8" s="220" t="s">
        <v>20</v>
      </c>
      <c r="N8" s="221"/>
      <c r="O8" s="222"/>
      <c r="P8" s="220" t="s">
        <v>104</v>
      </c>
      <c r="Q8" s="221"/>
      <c r="R8" s="222"/>
      <c r="S8" s="220" t="s">
        <v>4</v>
      </c>
      <c r="T8" s="221"/>
      <c r="U8" s="221"/>
      <c r="V8" s="222"/>
    </row>
    <row r="9" spans="1:22" ht="17.25" customHeight="1" thickBot="1">
      <c r="A9" s="241"/>
      <c r="B9" s="241"/>
      <c r="C9" s="16"/>
      <c r="D9" s="139">
        <v>2019</v>
      </c>
      <c r="E9" s="140">
        <v>2020</v>
      </c>
      <c r="F9" s="141" t="s">
        <v>13</v>
      </c>
      <c r="G9" s="192">
        <v>2019</v>
      </c>
      <c r="H9" s="140">
        <v>2020</v>
      </c>
      <c r="I9" s="141" t="s">
        <v>13</v>
      </c>
      <c r="J9" s="192">
        <v>2019</v>
      </c>
      <c r="K9" s="140">
        <v>2020</v>
      </c>
      <c r="L9" s="141" t="s">
        <v>13</v>
      </c>
      <c r="M9" s="192">
        <v>2019</v>
      </c>
      <c r="N9" s="140">
        <v>2020</v>
      </c>
      <c r="O9" s="141" t="s">
        <v>13</v>
      </c>
      <c r="P9" s="192">
        <v>2019</v>
      </c>
      <c r="Q9" s="140">
        <v>2020</v>
      </c>
      <c r="R9" s="141" t="s">
        <v>13</v>
      </c>
      <c r="S9" s="192">
        <v>2019</v>
      </c>
      <c r="T9" s="140">
        <v>2020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0</v>
      </c>
      <c r="E12" s="51">
        <v>61191</v>
      </c>
      <c r="F12" s="150">
        <f>+E12-D12</f>
        <v>61191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70450517</v>
      </c>
      <c r="E14" s="51">
        <v>62974731</v>
      </c>
      <c r="F14" s="150">
        <f aca="true" t="shared" si="0" ref="F14:F24">+E14-D14</f>
        <v>-7475786</v>
      </c>
      <c r="G14" s="50">
        <v>13059964</v>
      </c>
      <c r="H14" s="51">
        <v>8649605</v>
      </c>
      <c r="I14" s="150">
        <f>+H14-G14</f>
        <v>-4410359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13059964</v>
      </c>
      <c r="T14" s="51">
        <f t="shared" si="1"/>
        <v>8649605</v>
      </c>
      <c r="U14" s="150">
        <f aca="true" t="shared" si="2" ref="U14:U24">+T14-S14</f>
        <v>-4410359</v>
      </c>
      <c r="V14" s="118">
        <f>IF(S14=0," ",U14/S14)</f>
        <v>-0.3377007011657919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77355685</v>
      </c>
      <c r="E15" s="51">
        <v>37421240</v>
      </c>
      <c r="F15" s="150">
        <f t="shared" si="0"/>
        <v>-39934445</v>
      </c>
      <c r="G15" s="50">
        <v>16812169</v>
      </c>
      <c r="H15" s="51">
        <v>17544217</v>
      </c>
      <c r="I15" s="150">
        <f>+H15-G15</f>
        <v>732048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16812169</v>
      </c>
      <c r="T15" s="51">
        <f t="shared" si="1"/>
        <v>17544217</v>
      </c>
      <c r="U15" s="150">
        <f t="shared" si="2"/>
        <v>732048</v>
      </c>
      <c r="V15" s="118">
        <f>IF(S15=0," ",U15/S15)</f>
        <v>0.04354274573375987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120336128</v>
      </c>
      <c r="E16" s="51">
        <v>145568641</v>
      </c>
      <c r="F16" s="150">
        <f t="shared" si="0"/>
        <v>25232513</v>
      </c>
      <c r="G16" s="50">
        <v>32645193</v>
      </c>
      <c r="H16" s="51">
        <v>10418403</v>
      </c>
      <c r="I16" s="150">
        <f>+H16-G16</f>
        <v>-22226790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32645193</v>
      </c>
      <c r="T16" s="51">
        <f t="shared" si="1"/>
        <v>10418403</v>
      </c>
      <c r="U16" s="150">
        <f t="shared" si="2"/>
        <v>-22226790</v>
      </c>
      <c r="V16" s="118">
        <f>IF(S16=0," ",U16/S16)</f>
        <v>-0.6808595066354792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480217303</v>
      </c>
      <c r="E18" s="51">
        <v>595873441</v>
      </c>
      <c r="F18" s="150">
        <f>+E18-D18</f>
        <v>115656138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31417871</v>
      </c>
      <c r="N18" s="51">
        <v>114943383</v>
      </c>
      <c r="O18" s="150">
        <f>+N18-M18</f>
        <v>83525512</v>
      </c>
      <c r="P18" s="50">
        <v>0</v>
      </c>
      <c r="Q18" s="51">
        <v>0</v>
      </c>
      <c r="R18" s="150">
        <f>+Q18-P18</f>
        <v>0</v>
      </c>
      <c r="S18" s="50">
        <f>+G18+J18+M18+P18</f>
        <v>31417871</v>
      </c>
      <c r="T18" s="51">
        <f>+H18+K18+N18+Q18</f>
        <v>114943383</v>
      </c>
      <c r="U18" s="150">
        <f>+T18-S18</f>
        <v>83525512</v>
      </c>
      <c r="V18" s="118">
        <f>IF(S18=0," ",U18/S18)</f>
        <v>2.6585350738756297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164970</v>
      </c>
      <c r="E19" s="51">
        <v>34700</v>
      </c>
      <c r="F19" s="150">
        <f>+E19-D19</f>
        <v>-130270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0</v>
      </c>
      <c r="N19" s="51">
        <v>34700</v>
      </c>
      <c r="O19" s="150">
        <f>+N19-M19</f>
        <v>34700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34700</v>
      </c>
      <c r="U19" s="150">
        <f>+T19-S19</f>
        <v>34700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263709</v>
      </c>
      <c r="E21" s="52">
        <v>614325</v>
      </c>
      <c r="F21" s="150">
        <f t="shared" si="0"/>
        <v>350616</v>
      </c>
      <c r="G21" s="50">
        <v>469381</v>
      </c>
      <c r="H21" s="51">
        <v>11233</v>
      </c>
      <c r="I21" s="150">
        <f>+H21-G21</f>
        <v>-458148</v>
      </c>
      <c r="J21" s="50">
        <v>0</v>
      </c>
      <c r="K21" s="52">
        <v>0</v>
      </c>
      <c r="L21" s="150">
        <f>+K21-J21</f>
        <v>0</v>
      </c>
      <c r="M21" s="50">
        <v>1949</v>
      </c>
      <c r="N21" s="52">
        <v>2</v>
      </c>
      <c r="O21" s="150">
        <f>+N21-M21</f>
        <v>-1947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471330</v>
      </c>
      <c r="T21" s="52">
        <f t="shared" si="3"/>
        <v>11235</v>
      </c>
      <c r="U21" s="150">
        <f t="shared" si="2"/>
        <v>-460095</v>
      </c>
      <c r="V21" s="118">
        <f>IF(S21=0," ",U21/S21)</f>
        <v>-0.9761631977595315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11712873</v>
      </c>
      <c r="E22" s="51">
        <v>9292511</v>
      </c>
      <c r="F22" s="150">
        <f t="shared" si="0"/>
        <v>-2420362</v>
      </c>
      <c r="G22" s="50">
        <v>3735361</v>
      </c>
      <c r="H22" s="51">
        <v>10585093</v>
      </c>
      <c r="I22" s="150">
        <f>+H22-G22</f>
        <v>6849732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3735361</v>
      </c>
      <c r="T22" s="51">
        <f>+H22+K22+N22+Q22</f>
        <v>10585093</v>
      </c>
      <c r="U22" s="150">
        <f t="shared" si="2"/>
        <v>6849732</v>
      </c>
      <c r="V22" s="118">
        <f>IF(S22=0," ",U22/S22)</f>
        <v>1.833753685386767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0</v>
      </c>
      <c r="E23" s="51">
        <v>463020</v>
      </c>
      <c r="F23" s="150">
        <f>+E23-D23</f>
        <v>463020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5580</v>
      </c>
      <c r="N23" s="51">
        <v>12640</v>
      </c>
      <c r="O23" s="150">
        <f>+N23-M23</f>
        <v>7060</v>
      </c>
      <c r="P23" s="50">
        <v>0</v>
      </c>
      <c r="Q23" s="51">
        <v>0</v>
      </c>
      <c r="R23" s="150">
        <f>+Q23-P23</f>
        <v>0</v>
      </c>
      <c r="S23" s="50">
        <f t="shared" si="3"/>
        <v>5580</v>
      </c>
      <c r="T23" s="51">
        <f>+H23+K23+N23+Q23</f>
        <v>12640</v>
      </c>
      <c r="U23" s="150">
        <f>+T23-S23</f>
        <v>7060</v>
      </c>
      <c r="V23" s="118">
        <f>IF(S23=0," ",U23/S23)</f>
        <v>1.2652329749103943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1114475</v>
      </c>
      <c r="E24" s="51">
        <v>1713320</v>
      </c>
      <c r="F24" s="150">
        <f t="shared" si="0"/>
        <v>598845</v>
      </c>
      <c r="G24" s="50">
        <v>991211</v>
      </c>
      <c r="H24" s="51">
        <v>694339</v>
      </c>
      <c r="I24" s="150">
        <f>+H24-G24</f>
        <v>-296872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1368</v>
      </c>
      <c r="O24" s="150">
        <f>+N24-M24</f>
        <v>1368</v>
      </c>
      <c r="P24" s="50">
        <v>0</v>
      </c>
      <c r="Q24" s="51">
        <v>0</v>
      </c>
      <c r="R24" s="150">
        <f>+Q24-P24</f>
        <v>0</v>
      </c>
      <c r="S24" s="50">
        <f t="shared" si="3"/>
        <v>991211</v>
      </c>
      <c r="T24" s="51">
        <f t="shared" si="3"/>
        <v>695707</v>
      </c>
      <c r="U24" s="150">
        <f t="shared" si="2"/>
        <v>-295504</v>
      </c>
      <c r="V24" s="118">
        <f>IF(S24=0," ",U24/S24)</f>
        <v>-0.2981242137143353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25987781</v>
      </c>
      <c r="E26" s="51">
        <v>1662739247</v>
      </c>
      <c r="F26" s="150">
        <f>+E26-D26</f>
        <v>1636751466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653164964</v>
      </c>
      <c r="L26" s="150">
        <f>+K26-J26</f>
        <v>653164964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653164964</v>
      </c>
      <c r="U26" s="150">
        <f>+T26-S26</f>
        <v>653164964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32645812</v>
      </c>
      <c r="E27" s="51">
        <v>291811613</v>
      </c>
      <c r="F27" s="150">
        <f>+E27-D27</f>
        <v>259165801</v>
      </c>
      <c r="G27" s="50">
        <v>0</v>
      </c>
      <c r="H27" s="51">
        <v>0</v>
      </c>
      <c r="I27" s="150">
        <f>+H27-G27</f>
        <v>0</v>
      </c>
      <c r="J27" s="50">
        <v>379050</v>
      </c>
      <c r="K27" s="51">
        <v>51722667</v>
      </c>
      <c r="L27" s="150">
        <f>+K27-J27</f>
        <v>51343617</v>
      </c>
      <c r="M27" s="50">
        <v>0</v>
      </c>
      <c r="N27" s="54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3">
        <f>+G27+J27+M27+P27</f>
        <v>379050</v>
      </c>
      <c r="T27" s="54">
        <f>+H27+K27+N27+Q27</f>
        <v>51722667</v>
      </c>
      <c r="U27" s="150">
        <f>+T27-S27</f>
        <v>51343617</v>
      </c>
      <c r="V27" s="118">
        <f>IF(S27=0," ",U27/S27)</f>
        <v>135.45341511673922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207357197</v>
      </c>
      <c r="E29" s="51">
        <v>166671222</v>
      </c>
      <c r="F29" s="150">
        <f>+E29-D29</f>
        <v>-40685975</v>
      </c>
      <c r="G29" s="50">
        <v>0</v>
      </c>
      <c r="H29" s="51">
        <v>0</v>
      </c>
      <c r="I29" s="150">
        <f>+H29-G29</f>
        <v>0</v>
      </c>
      <c r="J29" s="50">
        <v>0</v>
      </c>
      <c r="K29" s="51">
        <v>0</v>
      </c>
      <c r="L29" s="150">
        <f>+K29-J29</f>
        <v>0</v>
      </c>
      <c r="M29" s="50">
        <v>0</v>
      </c>
      <c r="N29" s="51">
        <v>51268</v>
      </c>
      <c r="O29" s="150">
        <f>+N29-M29</f>
        <v>51268</v>
      </c>
      <c r="P29" s="50">
        <v>9020</v>
      </c>
      <c r="Q29" s="51">
        <v>0</v>
      </c>
      <c r="R29" s="150">
        <f>+Q29-P29</f>
        <v>-9020</v>
      </c>
      <c r="S29" s="50">
        <f>+G29+J29+M29+P29</f>
        <v>9020</v>
      </c>
      <c r="T29" s="51">
        <f>+H29+K29+N29+Q29</f>
        <v>51268</v>
      </c>
      <c r="U29" s="150">
        <f>+T29-S29</f>
        <v>42248</v>
      </c>
      <c r="V29" s="118">
        <f>IF(S29=0," ",U29/S29)</f>
        <v>4.683813747228381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7" t="s">
        <v>4</v>
      </c>
      <c r="B31" s="238"/>
      <c r="C31" s="17"/>
      <c r="D31" s="152">
        <f>SUM(D12:D29)</f>
        <v>1027606450</v>
      </c>
      <c r="E31" s="153">
        <f aca="true" t="shared" si="4" ref="E31:U31">SUM(E12:E29)</f>
        <v>2975239202</v>
      </c>
      <c r="F31" s="154">
        <f t="shared" si="4"/>
        <v>1947632752</v>
      </c>
      <c r="G31" s="152">
        <f t="shared" si="4"/>
        <v>67713279</v>
      </c>
      <c r="H31" s="155">
        <f>SUM(H12:H29)</f>
        <v>47902890</v>
      </c>
      <c r="I31" s="154">
        <f t="shared" si="4"/>
        <v>-19810389</v>
      </c>
      <c r="J31" s="152">
        <f t="shared" si="4"/>
        <v>379050</v>
      </c>
      <c r="K31" s="155">
        <f t="shared" si="4"/>
        <v>704887631</v>
      </c>
      <c r="L31" s="154">
        <f t="shared" si="4"/>
        <v>704508581</v>
      </c>
      <c r="M31" s="152">
        <f t="shared" si="4"/>
        <v>31425400</v>
      </c>
      <c r="N31" s="155">
        <f t="shared" si="4"/>
        <v>115043361</v>
      </c>
      <c r="O31" s="154">
        <f t="shared" si="4"/>
        <v>83617961</v>
      </c>
      <c r="P31" s="152">
        <f t="shared" si="4"/>
        <v>9020</v>
      </c>
      <c r="Q31" s="155">
        <f t="shared" si="4"/>
        <v>0</v>
      </c>
      <c r="R31" s="154">
        <f t="shared" si="4"/>
        <v>-9020</v>
      </c>
      <c r="S31" s="152">
        <f t="shared" si="4"/>
        <v>99526749</v>
      </c>
      <c r="T31" s="155">
        <f t="shared" si="4"/>
        <v>867833882</v>
      </c>
      <c r="U31" s="154">
        <f t="shared" si="4"/>
        <v>768307133</v>
      </c>
      <c r="V31" s="156">
        <f>IF(S31=0," ",U31/S31)</f>
        <v>7.71960443518556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146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J8:L8"/>
    <mergeCell ref="P8:R8"/>
    <mergeCell ref="D7:F7"/>
    <mergeCell ref="G7:V7"/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2021-05-19T16:17:58Z</dcterms:modified>
  <cp:category/>
  <cp:version/>
  <cp:contentType/>
  <cp:contentStatus/>
</cp:coreProperties>
</file>