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18_2019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'Ing_2018_2019'!$A$1:$V$40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<sst xmlns="http://schemas.openxmlformats.org/spreadsheetml/2006/main" count="191" uniqueCount="149">
  <si>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</si>
  <si>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</si>
  <si>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</si>
  <si>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</si>
  <si>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</si>
  <si>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</si>
  <si>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</si>
  <si>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</si>
  <si>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</si>
  <si>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</si>
  <si>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</si>
  <si>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</si>
  <si>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</si>
  <si>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</si>
  <si>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</si>
  <si>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</si>
  <si>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</si>
  <si>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</si>
  <si>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</si>
  <si>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</si>
  <si>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</si>
  <si>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</si>
  <si>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</si>
  <si>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</si>
  <si>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</si>
  <si>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</si>
  <si>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</si>
  <si>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</si>
  <si>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</si>
  <si>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</si>
  <si>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</si>
  <si>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</si>
  <si>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</si>
  <si>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</si>
  <si>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</si>
  <si>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</si>
  <si>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</si>
  <si>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</si>
  <si>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</si>
  <si>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</si>
  <si>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</si>
  <si>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</si>
  <si>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</si>
  <si>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</si>
  <si>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</si>
  <si>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</si>
  <si>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</si>
  <si>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</si>
  <si>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</si>
  <si>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</si>
  <si>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</si>
  <si>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</si>
  <si>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</si>
  <si>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</si>
  <si>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</si>
  <si>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</si>
  <si>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</si>
  <si>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</si>
  <si>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</si>
  <si>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</si>
  <si>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</si>
  <si>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</si>
  <si>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</si>
  <si>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</si>
  <si>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</si>
  <si>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</si>
  <si>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</si>
  <si>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</si>
  <si>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</si>
  <si>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</si>
  <si>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</si>
  <si>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</si>
  <si>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</si>
  <si>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</si>
  <si>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</si>
  <si>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</si>
  <si>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</si>
  <si>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</si>
  <si>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</si>
  <si>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</si>
  <si>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</si>
  <si>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</si>
  <si>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</si>
  <si>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</si>
  <si>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</si>
  <si>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</si>
  <si>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</si>
  <si>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</si>
  <si>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</si>
  <si>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</si>
  <si>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</si>
  <si>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</si>
  <si>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</si>
  <si>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</si>
  <si>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</si>
  <si>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</si>
  <si>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</si>
  <si>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</si>
  <si>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</si>
  <si>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</si>
  <si>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</si>
  <si>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</si>
  <si>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</si>
  <si>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</si>
  <si>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</si>
  <si>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</si>
  <si>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</si>
  <si>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</si>
  <si>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</si>
  <si>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</si>
  <si>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</si>
  <si>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</si>
  <si>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</si>
  <si>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</si>
  <si>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</si>
  <si>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</si>
  <si>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</si>
  <si>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</si>
  <si>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</si>
  <si>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</si>
  <si>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</si>
  <si>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</si>
  <si>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</si>
  <si>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</si>
  <si>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</si>
  <si>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</si>
  <si>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</si>
  <si>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</si>
  <si>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</si>
  <si>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</si>
  <si>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</si>
  <si>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</si>
  <si>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</si>
  <si>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</si>
  <si>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>AÑO FISCAL 2018</t>
  </si>
  <si>
    <t xml:space="preserve"> </t>
  </si>
  <si>
    <t>19 / 3 OPERACIONES OFICIALES CREDITO EXTERNO</t>
  </si>
  <si>
    <t>DENOMINACION 
INGRESO</t>
  </si>
  <si>
    <t>AÑO FISCAL 2019</t>
  </si>
  <si>
    <t>5 RECURSOS DETERMINADOS</t>
  </si>
  <si>
    <t>PRESUPUESTO DE EGRESOS COMPARATIVO IV TRIMESTRE AÑO FISCAL 2018 - 2019</t>
  </si>
  <si>
    <t>EJECUCION
IV TRIMESTRE
 /*</t>
  </si>
  <si>
    <t>Fuente : Consulta Amigable: Base de Datos MEF, al 31 de Diciembre del 2019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</si>
  <si>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IV Trimestre se encuentra a Nivel de Devengados</t>
    </r>
  </si>
  <si>
    <t>RESULTADOS OPERATIVOS COMPARATIVOS IV TRIMESTRE AÑOS FISCALES 2018 - 2019</t>
  </si>
  <si>
    <t>EJECUCION AL
IV TRIMESTRE (*)</t>
  </si>
  <si>
    <t>EJECUCION IV TRIMESTRE (*)</t>
  </si>
  <si>
    <t>INGRESOS COMPARATIVOS IV TRIMESTRE AÑO FISCAL 2018 - 2019</t>
  </si>
  <si>
    <t>EJECUCION IV TRIMESTRE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</si>
</sst>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169" fontId="6" fillId="0" borderId="11" xfId="54" applyNumberFormat="1" applyFont="1" applyFill="1" applyBorder="1" applyAlignment="1">
      <alignment vertical="center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7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A1" sqref="A1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204" t="s">
        <v>140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3:15" ht="12.75">
      <c r="C2" s="205" t="s">
        <v>9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3:15" ht="12.75">
      <c r="C3" s="205" t="s">
        <v>115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8" t="s">
        <v>6</v>
      </c>
      <c r="D6" s="200"/>
      <c r="E6" s="14"/>
      <c r="F6" s="196" t="s">
        <v>134</v>
      </c>
      <c r="G6" s="201"/>
      <c r="H6" s="197"/>
      <c r="I6" s="72"/>
      <c r="J6" s="196" t="s">
        <v>138</v>
      </c>
      <c r="K6" s="201"/>
      <c r="L6" s="197"/>
      <c r="M6" s="72"/>
      <c r="N6" s="196" t="s">
        <v>10</v>
      </c>
      <c r="O6" s="197"/>
    </row>
    <row r="7" spans="3:15" ht="12.75" customHeight="1">
      <c r="C7" s="200"/>
      <c r="D7" s="200"/>
      <c r="E7" s="14"/>
      <c r="F7" s="198" t="s">
        <v>8</v>
      </c>
      <c r="G7" s="198" t="s">
        <v>141</v>
      </c>
      <c r="H7" s="198" t="s">
        <v>114</v>
      </c>
      <c r="I7" s="69"/>
      <c r="J7" s="198" t="s">
        <v>8</v>
      </c>
      <c r="K7" s="198" t="s">
        <v>141</v>
      </c>
      <c r="L7" s="198" t="s">
        <v>114</v>
      </c>
      <c r="M7" s="69"/>
      <c r="N7" s="198" t="s">
        <v>8</v>
      </c>
      <c r="O7" s="198" t="s">
        <v>141</v>
      </c>
    </row>
    <row r="8" spans="3:15" ht="12.75">
      <c r="C8" s="200"/>
      <c r="D8" s="200"/>
      <c r="E8" s="14"/>
      <c r="F8" s="199"/>
      <c r="G8" s="199"/>
      <c r="H8" s="199"/>
      <c r="I8" s="69"/>
      <c r="J8" s="199"/>
      <c r="K8" s="199"/>
      <c r="L8" s="199"/>
      <c r="M8" s="69"/>
      <c r="N8" s="199"/>
      <c r="O8" s="199"/>
    </row>
    <row r="9" spans="3:15" ht="12.75">
      <c r="C9" s="200"/>
      <c r="D9" s="200"/>
      <c r="E9" s="14"/>
      <c r="F9" s="199"/>
      <c r="G9" s="199"/>
      <c r="H9" s="199"/>
      <c r="I9" s="69"/>
      <c r="J9" s="199"/>
      <c r="K9" s="199"/>
      <c r="L9" s="199"/>
      <c r="M9" s="69"/>
      <c r="N9" s="199"/>
      <c r="O9" s="199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202" t="s">
        <v>7</v>
      </c>
      <c r="D11" s="203"/>
      <c r="E11" s="16"/>
      <c r="F11" s="162">
        <f>SUM(F12:F16)</f>
        <v>6303924476</v>
      </c>
      <c r="G11" s="162">
        <f>SUM(G12:G16)</f>
        <v>2027688738</v>
      </c>
      <c r="H11" s="127">
        <f aca="true" t="shared" si="0" ref="H11:H16">IF(F11=0," ",G11/F11)</f>
        <v>0.3216549858298144</v>
      </c>
      <c r="I11" s="69"/>
      <c r="J11" s="162">
        <f>SUM(J12:J16)</f>
        <v>6553555229</v>
      </c>
      <c r="K11" s="162">
        <f>SUM(K12:K16)</f>
        <v>1974642684</v>
      </c>
      <c r="L11" s="127">
        <f aca="true" t="shared" si="1" ref="L11:L16">IF(J11=0," ",K11/J11)</f>
        <v>0.30130862028323957</v>
      </c>
      <c r="M11" s="69"/>
      <c r="N11" s="162">
        <f aca="true" t="shared" si="2" ref="N11:O16">+J11-F11</f>
        <v>249630753</v>
      </c>
      <c r="O11" s="162">
        <f t="shared" si="2"/>
        <v>-53046054</v>
      </c>
    </row>
    <row r="12" spans="3:18" ht="12.75">
      <c r="C12" s="76" t="s">
        <v>32</v>
      </c>
      <c r="D12" s="120" t="s">
        <v>1</v>
      </c>
      <c r="E12" s="71"/>
      <c r="F12" s="161">
        <v>5257694136</v>
      </c>
      <c r="G12" s="161">
        <v>1607816058</v>
      </c>
      <c r="H12" s="96">
        <f t="shared" si="0"/>
        <v>0.30580250893468863</v>
      </c>
      <c r="I12" s="69"/>
      <c r="J12" s="161">
        <v>5525948779</v>
      </c>
      <c r="K12" s="161">
        <v>1611171588</v>
      </c>
      <c r="L12" s="96">
        <f t="shared" si="1"/>
        <v>0.29156469819678</v>
      </c>
      <c r="M12" s="69"/>
      <c r="N12" s="161">
        <f t="shared" si="2"/>
        <v>268254643</v>
      </c>
      <c r="O12" s="161">
        <f t="shared" si="2"/>
        <v>3355530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61">
        <v>289405522</v>
      </c>
      <c r="G13" s="161">
        <v>101255600</v>
      </c>
      <c r="H13" s="96">
        <f t="shared" si="0"/>
        <v>0.34987445747493373</v>
      </c>
      <c r="I13" s="69"/>
      <c r="J13" s="161">
        <v>397645248</v>
      </c>
      <c r="K13" s="161">
        <v>166063817</v>
      </c>
      <c r="L13" s="96">
        <f t="shared" si="1"/>
        <v>0.4176180096084035</v>
      </c>
      <c r="M13" s="69"/>
      <c r="N13" s="161">
        <f t="shared" si="2"/>
        <v>108239726</v>
      </c>
      <c r="O13" s="161">
        <f t="shared" si="2"/>
        <v>64808217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61">
        <v>89047531</v>
      </c>
      <c r="G14" s="161">
        <v>4913869</v>
      </c>
      <c r="H14" s="96">
        <f t="shared" si="0"/>
        <v>0.05518254065910036</v>
      </c>
      <c r="I14" s="69"/>
      <c r="J14" s="161">
        <v>65090190</v>
      </c>
      <c r="K14" s="161">
        <v>638707</v>
      </c>
      <c r="L14" s="96">
        <f t="shared" si="1"/>
        <v>0.00981264611456811</v>
      </c>
      <c r="M14" s="69"/>
      <c r="N14" s="161">
        <f t="shared" si="2"/>
        <v>-23957341</v>
      </c>
      <c r="O14" s="161">
        <f t="shared" si="2"/>
        <v>-4275162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61">
        <v>662797737</v>
      </c>
      <c r="G15" s="161">
        <v>310710604</v>
      </c>
      <c r="H15" s="96">
        <f t="shared" si="0"/>
        <v>0.4687864587564215</v>
      </c>
      <c r="I15" s="69"/>
      <c r="J15" s="161">
        <v>559813085</v>
      </c>
      <c r="K15" s="161">
        <v>194919224</v>
      </c>
      <c r="L15" s="96">
        <f t="shared" si="1"/>
        <v>0.34818625934761777</v>
      </c>
      <c r="M15" s="69"/>
      <c r="N15" s="161">
        <f t="shared" si="2"/>
        <v>-102984652</v>
      </c>
      <c r="O15" s="161">
        <f t="shared" si="2"/>
        <v>-115791380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61">
        <v>4979550</v>
      </c>
      <c r="G16" s="161">
        <v>2992607</v>
      </c>
      <c r="H16" s="96">
        <f t="shared" si="0"/>
        <v>0.6009794057695976</v>
      </c>
      <c r="I16" s="69"/>
      <c r="J16" s="161">
        <v>5057927</v>
      </c>
      <c r="K16" s="161">
        <v>1849348</v>
      </c>
      <c r="L16" s="96">
        <f t="shared" si="1"/>
        <v>0.36563358862237433</v>
      </c>
      <c r="M16" s="69"/>
      <c r="N16" s="161">
        <f t="shared" si="2"/>
        <v>78377</v>
      </c>
      <c r="O16" s="161">
        <f t="shared" si="2"/>
        <v>-1143259</v>
      </c>
      <c r="Q16" s="77"/>
      <c r="R16" s="77"/>
    </row>
    <row r="17" spans="3:15" ht="5.25" customHeight="1">
      <c r="C17" s="73"/>
      <c r="D17" s="74"/>
      <c r="E17" s="71"/>
      <c r="F17" s="161"/>
      <c r="G17" s="161"/>
      <c r="H17" s="97"/>
      <c r="I17" s="69"/>
      <c r="J17" s="161"/>
      <c r="K17" s="161"/>
      <c r="L17" s="97"/>
      <c r="M17" s="69"/>
      <c r="N17" s="161"/>
      <c r="O17" s="161"/>
    </row>
    <row r="18" spans="3:15" ht="12.75">
      <c r="C18" s="202" t="s">
        <v>5</v>
      </c>
      <c r="D18" s="203"/>
      <c r="E18" s="16"/>
      <c r="F18" s="162">
        <f>+F19+F25</f>
        <v>6303924476</v>
      </c>
      <c r="G18" s="162">
        <f>+G19+G25</f>
        <v>2027688738</v>
      </c>
      <c r="H18" s="127">
        <f>IF(F18=0," ",G18/F18)</f>
        <v>0.3216549858298144</v>
      </c>
      <c r="I18" s="69"/>
      <c r="J18" s="162">
        <f>+J19+J25</f>
        <v>6553555229</v>
      </c>
      <c r="K18" s="162">
        <f>+K19+K25</f>
        <v>1974642684</v>
      </c>
      <c r="L18" s="127">
        <f aca="true" t="shared" si="3" ref="L18:L30">IF(J18=0," ",K18/J18)</f>
        <v>0.30130862028323957</v>
      </c>
      <c r="M18" s="69"/>
      <c r="N18" s="162">
        <f aca="true" t="shared" si="4" ref="N18:N30">+J18-F18</f>
        <v>249630753</v>
      </c>
      <c r="O18" s="162">
        <f aca="true" t="shared" si="5" ref="O18:O30">+K18-G18</f>
        <v>-53046054</v>
      </c>
    </row>
    <row r="19" spans="3:15" ht="12.75">
      <c r="C19" s="76"/>
      <c r="D19" s="128" t="s">
        <v>108</v>
      </c>
      <c r="E19" s="16"/>
      <c r="F19" s="162">
        <f>+SUM(F20:F24)</f>
        <v>5762666348</v>
      </c>
      <c r="G19" s="162">
        <f>+SUM(G20:G24)</f>
        <v>1892352063</v>
      </c>
      <c r="H19" s="127">
        <f aca="true" t="shared" si="6" ref="H19:H30">IF(F19=0," ",G19/F19)</f>
        <v>0.32838133404283637</v>
      </c>
      <c r="I19" s="69"/>
      <c r="J19" s="162">
        <f>+SUM(J20:J24)</f>
        <v>6005418933</v>
      </c>
      <c r="K19" s="162">
        <f>+SUM(K20:K24)</f>
        <v>1795770864</v>
      </c>
      <c r="L19" s="127">
        <f t="shared" si="3"/>
        <v>0.2990250778562962</v>
      </c>
      <c r="M19" s="69"/>
      <c r="N19" s="162">
        <f t="shared" si="4"/>
        <v>242752585</v>
      </c>
      <c r="O19" s="162">
        <f t="shared" si="5"/>
        <v>-96581199</v>
      </c>
    </row>
    <row r="20" spans="3:21" ht="12.75">
      <c r="C20" s="76"/>
      <c r="D20" s="121" t="s">
        <v>109</v>
      </c>
      <c r="E20" s="71"/>
      <c r="F20" s="161">
        <v>2353717981</v>
      </c>
      <c r="G20" s="161">
        <v>668815310</v>
      </c>
      <c r="H20" s="96">
        <f t="shared" si="6"/>
        <v>0.2841526960319381</v>
      </c>
      <c r="I20" s="69"/>
      <c r="J20" s="161">
        <v>2531752622</v>
      </c>
      <c r="K20" s="161">
        <v>703487074</v>
      </c>
      <c r="L20" s="96">
        <f t="shared" si="3"/>
        <v>0.27786564448949547</v>
      </c>
      <c r="M20" s="69"/>
      <c r="N20" s="161">
        <f t="shared" si="4"/>
        <v>178034641</v>
      </c>
      <c r="O20" s="161">
        <f t="shared" si="5"/>
        <v>34671764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61">
        <v>186061576</v>
      </c>
      <c r="G21" s="161">
        <v>56330130</v>
      </c>
      <c r="H21" s="96">
        <f t="shared" si="6"/>
        <v>0.30274993478503054</v>
      </c>
      <c r="I21" s="69"/>
      <c r="J21" s="161">
        <v>174925612</v>
      </c>
      <c r="K21" s="161">
        <v>44319613</v>
      </c>
      <c r="L21" s="96">
        <f t="shared" si="3"/>
        <v>0.25336262936727644</v>
      </c>
      <c r="M21" s="69"/>
      <c r="N21" s="161">
        <f t="shared" si="4"/>
        <v>-11135964</v>
      </c>
      <c r="O21" s="161">
        <f t="shared" si="5"/>
        <v>-12010517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61">
        <v>2522966307</v>
      </c>
      <c r="G22" s="161">
        <v>936421855</v>
      </c>
      <c r="H22" s="96">
        <f t="shared" si="6"/>
        <v>0.3711590806432438</v>
      </c>
      <c r="I22" s="69"/>
      <c r="J22" s="161">
        <v>2676307425</v>
      </c>
      <c r="K22" s="161">
        <v>941491517</v>
      </c>
      <c r="L22" s="96">
        <f t="shared" si="3"/>
        <v>0.3517875069976313</v>
      </c>
      <c r="M22" s="69"/>
      <c r="N22" s="161">
        <f t="shared" si="4"/>
        <v>153341118</v>
      </c>
      <c r="O22" s="161">
        <f t="shared" si="5"/>
        <v>5069662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61">
        <v>594285717</v>
      </c>
      <c r="G23" s="161">
        <v>195855641</v>
      </c>
      <c r="H23" s="96">
        <f t="shared" si="6"/>
        <v>0.3295647790236224</v>
      </c>
      <c r="I23" s="69"/>
      <c r="J23" s="161">
        <v>488064000</v>
      </c>
      <c r="K23" s="161">
        <v>70706165</v>
      </c>
      <c r="L23" s="96">
        <f t="shared" si="3"/>
        <v>0.14487068294322056</v>
      </c>
      <c r="M23" s="69"/>
      <c r="N23" s="161">
        <f t="shared" si="4"/>
        <v>-106221717</v>
      </c>
      <c r="O23" s="161">
        <f t="shared" si="5"/>
        <v>-125149476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61">
        <v>105634767</v>
      </c>
      <c r="G24" s="161">
        <v>34929127</v>
      </c>
      <c r="H24" s="96">
        <f t="shared" si="6"/>
        <v>0.330659384140072</v>
      </c>
      <c r="I24" s="69"/>
      <c r="J24" s="161">
        <v>134369274</v>
      </c>
      <c r="K24" s="161">
        <v>35766495</v>
      </c>
      <c r="L24" s="96">
        <f t="shared" si="3"/>
        <v>0.26618060762909235</v>
      </c>
      <c r="M24" s="69"/>
      <c r="N24" s="161">
        <f t="shared" si="4"/>
        <v>28734507</v>
      </c>
      <c r="O24" s="161">
        <f t="shared" si="5"/>
        <v>837368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62">
        <f>+F26+F27+F28</f>
        <v>541258128</v>
      </c>
      <c r="G25" s="162">
        <f>+G26+G27+G28</f>
        <v>135336675</v>
      </c>
      <c r="H25" s="127">
        <f t="shared" si="6"/>
        <v>0.2500409102401507</v>
      </c>
      <c r="I25" s="69"/>
      <c r="J25" s="162">
        <f>+J26+J27+J28</f>
        <v>548136296</v>
      </c>
      <c r="K25" s="162">
        <f>+K26+K27+K28</f>
        <v>178871820</v>
      </c>
      <c r="L25" s="127">
        <f t="shared" si="3"/>
        <v>0.32632726806327017</v>
      </c>
      <c r="M25" s="69"/>
      <c r="N25" s="162">
        <f t="shared" si="4"/>
        <v>6878168</v>
      </c>
      <c r="O25" s="162">
        <f t="shared" si="5"/>
        <v>43535145</v>
      </c>
    </row>
    <row r="26" spans="3:21" ht="12.75">
      <c r="C26" s="78"/>
      <c r="D26" s="123" t="s">
        <v>107</v>
      </c>
      <c r="E26" s="71"/>
      <c r="F26" s="161">
        <v>1646360</v>
      </c>
      <c r="G26" s="161">
        <v>127000</v>
      </c>
      <c r="H26" s="96">
        <f t="shared" si="6"/>
        <v>0.07713987220292039</v>
      </c>
      <c r="I26" s="69"/>
      <c r="J26" s="161">
        <v>12</v>
      </c>
      <c r="K26" s="161">
        <v>0</v>
      </c>
      <c r="L26" s="96">
        <f t="shared" si="3"/>
        <v>0</v>
      </c>
      <c r="M26" s="69"/>
      <c r="N26" s="161">
        <f t="shared" si="4"/>
        <v>-1646348</v>
      </c>
      <c r="O26" s="161">
        <f t="shared" si="5"/>
        <v>-127000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61">
        <v>0</v>
      </c>
      <c r="G27" s="161">
        <v>0</v>
      </c>
      <c r="H27" s="96" t="str">
        <f t="shared" si="6"/>
        <v> </v>
      </c>
      <c r="I27" s="69"/>
      <c r="J27" s="161">
        <v>0</v>
      </c>
      <c r="K27" s="161">
        <v>0</v>
      </c>
      <c r="L27" s="96" t="str">
        <f t="shared" si="3"/>
        <v> </v>
      </c>
      <c r="M27" s="69"/>
      <c r="N27" s="161">
        <f t="shared" si="4"/>
        <v>0</v>
      </c>
      <c r="O27" s="161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3">
        <f>SUM(F29:F30)</f>
        <v>539611768</v>
      </c>
      <c r="G28" s="163">
        <f>SUM(G29:G30)</f>
        <v>135209675</v>
      </c>
      <c r="H28" s="127">
        <f t="shared" si="6"/>
        <v>0.25056843274774543</v>
      </c>
      <c r="I28" s="81"/>
      <c r="J28" s="163">
        <f>+J29+J30</f>
        <v>548136284</v>
      </c>
      <c r="K28" s="163">
        <f>+K29+K30</f>
        <v>178871820</v>
      </c>
      <c r="L28" s="130">
        <f t="shared" si="3"/>
        <v>0.32632727520734606</v>
      </c>
      <c r="M28" s="81"/>
      <c r="N28" s="162">
        <f t="shared" si="4"/>
        <v>8524516</v>
      </c>
      <c r="O28" s="162">
        <f t="shared" si="5"/>
        <v>43662145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61">
        <v>425651632</v>
      </c>
      <c r="G29" s="161">
        <v>89734925</v>
      </c>
      <c r="H29" s="96">
        <f t="shared" si="6"/>
        <v>0.21081776329240057</v>
      </c>
      <c r="I29" s="69"/>
      <c r="J29" s="165">
        <v>460087812</v>
      </c>
      <c r="K29" s="161">
        <f>138278540-1</f>
        <v>138278539</v>
      </c>
      <c r="L29" s="96">
        <f t="shared" si="3"/>
        <v>0.300548146230833</v>
      </c>
      <c r="M29" s="69"/>
      <c r="N29" s="161">
        <f t="shared" si="4"/>
        <v>34436180</v>
      </c>
      <c r="O29" s="161">
        <f t="shared" si="5"/>
        <v>48543614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4">
        <v>113960136</v>
      </c>
      <c r="G30" s="164">
        <v>45474750</v>
      </c>
      <c r="H30" s="98">
        <f t="shared" si="6"/>
        <v>0.39904085407549883</v>
      </c>
      <c r="I30" s="69"/>
      <c r="J30" s="164">
        <v>88048472</v>
      </c>
      <c r="K30" s="164">
        <v>40593281</v>
      </c>
      <c r="L30" s="98">
        <f t="shared" si="3"/>
        <v>0.46103333854561385</v>
      </c>
      <c r="M30" s="69"/>
      <c r="N30" s="164">
        <f t="shared" si="4"/>
        <v>-25911664</v>
      </c>
      <c r="O30" s="164">
        <f t="shared" si="5"/>
        <v>-4881469</v>
      </c>
      <c r="Q30" s="77"/>
      <c r="R30" s="77"/>
      <c r="U30" s="77"/>
    </row>
    <row r="31" spans="2:15" ht="12.75">
      <c r="B31" s="63"/>
      <c r="C31" s="65" t="s">
        <v>142</v>
      </c>
      <c r="D31" s="63"/>
      <c r="E31" s="71"/>
      <c r="F31" s="63"/>
      <c r="G31" s="63"/>
      <c r="H31" s="63"/>
      <c r="I31" s="69"/>
      <c r="J31" s="63"/>
      <c r="K31" s="193"/>
      <c r="L31" s="63"/>
      <c r="M31" s="69"/>
      <c r="N31" s="63"/>
      <c r="O31" s="63"/>
    </row>
    <row r="32" spans="2:15" ht="12.75">
      <c r="B32" s="63"/>
      <c r="C32" s="64" t="s">
        <v>143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J33" s="63"/>
      <c r="K33" s="63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6" width="13.7109375" style="42" customWidth="1"/>
    <col min="7" max="7" width="11.421875" style="42" customWidth="1"/>
    <col min="8" max="8" width="0.85546875" style="42" customWidth="1"/>
    <col min="9" max="10" width="13.7109375" style="42" customWidth="1"/>
    <col min="11" max="11" width="11.421875" style="42" customWidth="1"/>
    <col min="12" max="12" width="0.85546875" style="42" customWidth="1"/>
    <col min="13" max="14" width="13.7109375" style="42" customWidth="1"/>
    <col min="15" max="16384" width="11.421875" style="42" customWidth="1"/>
  </cols>
  <sheetData>
    <row r="1" spans="2:15" ht="14.25">
      <c r="B1" s="222" t="s">
        <v>144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87"/>
    </row>
    <row r="2" spans="2:15" ht="12.75">
      <c r="B2" s="205" t="s">
        <v>97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84"/>
    </row>
    <row r="3" spans="2:15" ht="12.75">
      <c r="B3" s="205" t="s">
        <v>115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21" t="s">
        <v>22</v>
      </c>
      <c r="C5" s="221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09" t="s">
        <v>63</v>
      </c>
      <c r="C7" s="210"/>
      <c r="D7" s="41"/>
      <c r="E7" s="219" t="s">
        <v>134</v>
      </c>
      <c r="F7" s="219"/>
      <c r="G7" s="219"/>
      <c r="I7" s="219" t="s">
        <v>138</v>
      </c>
      <c r="J7" s="219"/>
      <c r="K7" s="219"/>
      <c r="M7" s="219" t="s">
        <v>10</v>
      </c>
      <c r="N7" s="219"/>
    </row>
    <row r="8" spans="2:14" s="43" customFormat="1" ht="38.25">
      <c r="B8" s="211"/>
      <c r="C8" s="212"/>
      <c r="D8" s="41"/>
      <c r="E8" s="125" t="s">
        <v>64</v>
      </c>
      <c r="F8" s="126" t="s">
        <v>145</v>
      </c>
      <c r="G8" s="125" t="s">
        <v>0</v>
      </c>
      <c r="I8" s="125" t="s">
        <v>64</v>
      </c>
      <c r="J8" s="126" t="s">
        <v>145</v>
      </c>
      <c r="K8" s="125" t="s">
        <v>0</v>
      </c>
      <c r="M8" s="126" t="s">
        <v>65</v>
      </c>
      <c r="N8" s="126" t="s">
        <v>145</v>
      </c>
    </row>
    <row r="9" spans="2:14" s="43" customFormat="1" ht="12.75">
      <c r="B9" s="208" t="s">
        <v>66</v>
      </c>
      <c r="C9" s="208"/>
      <c r="D9" s="88"/>
      <c r="E9" s="166">
        <f>SUM(E10:E12)</f>
        <v>2353717981</v>
      </c>
      <c r="F9" s="166">
        <f>SUM(F10:F12)</f>
        <v>668815310</v>
      </c>
      <c r="G9" s="131">
        <f aca="true" t="shared" si="0" ref="G9:G39">IF(E9=0," ",F9/E9)</f>
        <v>0.2841526960319381</v>
      </c>
      <c r="I9" s="166">
        <f>SUM(I10:I12)</f>
        <v>2531752622</v>
      </c>
      <c r="J9" s="166">
        <f>SUM(J10:J12)</f>
        <v>703487073</v>
      </c>
      <c r="K9" s="131">
        <f aca="true" t="shared" si="1" ref="K9:K40">IF(I9=0," ",J9/I9)</f>
        <v>0.27786564409451214</v>
      </c>
      <c r="M9" s="166">
        <f aca="true" t="shared" si="2" ref="M9:M36">+E9-I9</f>
        <v>-178034641</v>
      </c>
      <c r="N9" s="166">
        <f aca="true" t="shared" si="3" ref="N9:N35">+F9-J9</f>
        <v>-34671763</v>
      </c>
    </row>
    <row r="10" spans="2:14" ht="12.75">
      <c r="B10" s="215" t="s">
        <v>67</v>
      </c>
      <c r="C10" s="215"/>
      <c r="D10" s="89"/>
      <c r="E10" s="167">
        <v>2235578814</v>
      </c>
      <c r="F10" s="167">
        <v>631367530</v>
      </c>
      <c r="G10" s="90">
        <f t="shared" si="0"/>
        <v>0.282417925078798</v>
      </c>
      <c r="I10" s="167">
        <v>2405886321</v>
      </c>
      <c r="J10" s="167">
        <v>667073280</v>
      </c>
      <c r="K10" s="90">
        <f t="shared" si="1"/>
        <v>0.27726716519288114</v>
      </c>
      <c r="M10" s="167">
        <f t="shared" si="2"/>
        <v>-170307507</v>
      </c>
      <c r="N10" s="167">
        <f t="shared" si="3"/>
        <v>-35705750</v>
      </c>
    </row>
    <row r="11" spans="2:14" ht="12.75">
      <c r="B11" s="207" t="s">
        <v>68</v>
      </c>
      <c r="C11" s="207"/>
      <c r="D11" s="89"/>
      <c r="E11" s="168">
        <v>14515245</v>
      </c>
      <c r="F11" s="168">
        <v>10575270</v>
      </c>
      <c r="G11" s="91">
        <f t="shared" si="0"/>
        <v>0.7285629694848417</v>
      </c>
      <c r="I11" s="168">
        <v>13737134</v>
      </c>
      <c r="J11" s="168">
        <v>6559132</v>
      </c>
      <c r="K11" s="91">
        <f t="shared" si="1"/>
        <v>0.4774745591038131</v>
      </c>
      <c r="M11" s="168">
        <f t="shared" si="2"/>
        <v>778111</v>
      </c>
      <c r="N11" s="168">
        <f t="shared" si="3"/>
        <v>4016138</v>
      </c>
    </row>
    <row r="12" spans="2:14" ht="12.75">
      <c r="B12" s="213" t="s">
        <v>69</v>
      </c>
      <c r="C12" s="213"/>
      <c r="D12" s="89"/>
      <c r="E12" s="168">
        <v>103623922</v>
      </c>
      <c r="F12" s="168">
        <v>26872510</v>
      </c>
      <c r="G12" s="92">
        <f t="shared" si="0"/>
        <v>0.25932728159044205</v>
      </c>
      <c r="I12" s="170">
        <v>112129167</v>
      </c>
      <c r="J12" s="170">
        <v>29854661</v>
      </c>
      <c r="K12" s="92">
        <f t="shared" si="1"/>
        <v>0.266252410490127</v>
      </c>
      <c r="M12" s="170">
        <f t="shared" si="2"/>
        <v>-8505245</v>
      </c>
      <c r="N12" s="170">
        <f t="shared" si="3"/>
        <v>-2982151</v>
      </c>
    </row>
    <row r="13" spans="2:14" ht="12.75">
      <c r="B13" s="208" t="s">
        <v>70</v>
      </c>
      <c r="C13" s="208"/>
      <c r="D13" s="88"/>
      <c r="E13" s="169">
        <f>SUM(E14:E15)</f>
        <v>186061576</v>
      </c>
      <c r="F13" s="169">
        <f>SUM(F14:F15)</f>
        <v>56330130</v>
      </c>
      <c r="G13" s="131">
        <f t="shared" si="0"/>
        <v>0.30274993478503054</v>
      </c>
      <c r="I13" s="169">
        <f>SUM(I14:I15)</f>
        <v>174925612</v>
      </c>
      <c r="J13" s="169">
        <f>SUM(J14:J15)</f>
        <v>44319613</v>
      </c>
      <c r="K13" s="131">
        <f t="shared" si="1"/>
        <v>0.25336262936727644</v>
      </c>
      <c r="M13" s="169">
        <f t="shared" si="2"/>
        <v>11135964</v>
      </c>
      <c r="N13" s="169">
        <f t="shared" si="3"/>
        <v>12010517</v>
      </c>
    </row>
    <row r="14" spans="2:14" ht="12.75">
      <c r="B14" s="215" t="s">
        <v>71</v>
      </c>
      <c r="C14" s="215"/>
      <c r="D14" s="89"/>
      <c r="E14" s="167">
        <v>180034880</v>
      </c>
      <c r="F14" s="167">
        <v>52083413</v>
      </c>
      <c r="G14" s="90">
        <f t="shared" si="0"/>
        <v>0.28929623526285575</v>
      </c>
      <c r="I14" s="167">
        <v>168430997</v>
      </c>
      <c r="J14" s="167">
        <v>41955348</v>
      </c>
      <c r="K14" s="90">
        <f t="shared" si="1"/>
        <v>0.24909517100347034</v>
      </c>
      <c r="M14" s="167">
        <f t="shared" si="2"/>
        <v>11603883</v>
      </c>
      <c r="N14" s="167">
        <f t="shared" si="3"/>
        <v>10128065</v>
      </c>
    </row>
    <row r="15" spans="2:14" ht="12.75">
      <c r="B15" s="213" t="s">
        <v>72</v>
      </c>
      <c r="C15" s="213"/>
      <c r="D15" s="89"/>
      <c r="E15" s="170">
        <v>6026696</v>
      </c>
      <c r="F15" s="170">
        <v>4246717</v>
      </c>
      <c r="G15" s="92">
        <f t="shared" si="0"/>
        <v>0.7046509397520632</v>
      </c>
      <c r="I15" s="170">
        <v>6494615</v>
      </c>
      <c r="J15" s="170">
        <v>2364265</v>
      </c>
      <c r="K15" s="92">
        <f t="shared" si="1"/>
        <v>0.3640346656422282</v>
      </c>
      <c r="M15" s="170">
        <f t="shared" si="2"/>
        <v>-467919</v>
      </c>
      <c r="N15" s="170">
        <f t="shared" si="3"/>
        <v>1882452</v>
      </c>
    </row>
    <row r="16" spans="2:14" ht="12.75">
      <c r="B16" s="208" t="s">
        <v>73</v>
      </c>
      <c r="C16" s="208"/>
      <c r="D16" s="88"/>
      <c r="E16" s="169">
        <f>SUM(E17:E18)</f>
        <v>2522966307</v>
      </c>
      <c r="F16" s="169">
        <f>SUM(F17:F18)</f>
        <v>936421855</v>
      </c>
      <c r="G16" s="131">
        <f t="shared" si="0"/>
        <v>0.3711590806432438</v>
      </c>
      <c r="I16" s="169">
        <f>SUM(I17:I18)</f>
        <v>2676307425</v>
      </c>
      <c r="J16" s="169">
        <f>SUM(J17:J18)</f>
        <v>941491517</v>
      </c>
      <c r="K16" s="131">
        <f t="shared" si="1"/>
        <v>0.3517875069976313</v>
      </c>
      <c r="M16" s="169">
        <f t="shared" si="2"/>
        <v>-153341118</v>
      </c>
      <c r="N16" s="169">
        <f t="shared" si="3"/>
        <v>-5069662</v>
      </c>
    </row>
    <row r="17" spans="2:14" ht="12.75">
      <c r="B17" s="215" t="s">
        <v>74</v>
      </c>
      <c r="C17" s="215"/>
      <c r="D17" s="89"/>
      <c r="E17" s="167">
        <v>1041720516</v>
      </c>
      <c r="F17" s="167">
        <v>419108986</v>
      </c>
      <c r="G17" s="90">
        <f t="shared" si="0"/>
        <v>0.40232382828486024</v>
      </c>
      <c r="I17" s="167">
        <v>966373902</v>
      </c>
      <c r="J17" s="167">
        <v>371766081</v>
      </c>
      <c r="K17" s="90">
        <f t="shared" si="1"/>
        <v>0.38470211191609766</v>
      </c>
      <c r="M17" s="167">
        <f t="shared" si="2"/>
        <v>75346614</v>
      </c>
      <c r="N17" s="167">
        <f t="shared" si="3"/>
        <v>47342905</v>
      </c>
    </row>
    <row r="18" spans="2:14" ht="12.75">
      <c r="B18" s="213" t="s">
        <v>75</v>
      </c>
      <c r="C18" s="213"/>
      <c r="D18" s="89"/>
      <c r="E18" s="170">
        <v>1481245791</v>
      </c>
      <c r="F18" s="170">
        <v>517312869</v>
      </c>
      <c r="G18" s="92">
        <f t="shared" si="0"/>
        <v>0.3492417478200956</v>
      </c>
      <c r="I18" s="170">
        <v>1709933523</v>
      </c>
      <c r="J18" s="170">
        <v>569725436</v>
      </c>
      <c r="K18" s="92">
        <f t="shared" si="1"/>
        <v>0.333185722331733</v>
      </c>
      <c r="M18" s="170">
        <f t="shared" si="2"/>
        <v>-228687732</v>
      </c>
      <c r="N18" s="170">
        <f t="shared" si="3"/>
        <v>-52412567</v>
      </c>
    </row>
    <row r="19" spans="2:14" ht="12.75">
      <c r="B19" s="208" t="s">
        <v>76</v>
      </c>
      <c r="C19" s="208"/>
      <c r="D19" s="88"/>
      <c r="E19" s="169">
        <f>SUM(E20:E21)</f>
        <v>594285717</v>
      </c>
      <c r="F19" s="169">
        <f>SUM(F20:F21)</f>
        <v>195855641</v>
      </c>
      <c r="G19" s="131">
        <f t="shared" si="0"/>
        <v>0.3295647790236224</v>
      </c>
      <c r="I19" s="169">
        <f>SUM(I20:I21)</f>
        <v>488064000</v>
      </c>
      <c r="J19" s="169">
        <f>SUM(J20:J21)</f>
        <v>70706165</v>
      </c>
      <c r="K19" s="131">
        <f t="shared" si="1"/>
        <v>0.14487068294322056</v>
      </c>
      <c r="M19" s="169">
        <f t="shared" si="2"/>
        <v>106221717</v>
      </c>
      <c r="N19" s="169">
        <f>+F19-J19</f>
        <v>125149476</v>
      </c>
    </row>
    <row r="20" spans="2:14" ht="12.75">
      <c r="B20" s="220" t="s">
        <v>77</v>
      </c>
      <c r="C20" s="220"/>
      <c r="D20" s="89"/>
      <c r="E20" s="171">
        <v>594285717</v>
      </c>
      <c r="F20" s="171">
        <v>195855641</v>
      </c>
      <c r="G20" s="93">
        <f t="shared" si="0"/>
        <v>0.3295647790236224</v>
      </c>
      <c r="I20" s="171">
        <v>488064000</v>
      </c>
      <c r="J20" s="171">
        <v>70706165</v>
      </c>
      <c r="K20" s="93">
        <f t="shared" si="1"/>
        <v>0.14487068294322056</v>
      </c>
      <c r="M20" s="171">
        <f t="shared" si="2"/>
        <v>106221717</v>
      </c>
      <c r="N20" s="171">
        <f t="shared" si="3"/>
        <v>125149476</v>
      </c>
    </row>
    <row r="21" spans="2:14" ht="12.75">
      <c r="B21" s="206" t="s">
        <v>105</v>
      </c>
      <c r="C21" s="206"/>
      <c r="D21" s="89"/>
      <c r="E21" s="172">
        <v>0</v>
      </c>
      <c r="F21" s="172">
        <v>0</v>
      </c>
      <c r="G21" s="94" t="str">
        <f>IF(E21=0," ",F21/E21)</f>
        <v> </v>
      </c>
      <c r="I21" s="172">
        <v>0</v>
      </c>
      <c r="J21" s="172">
        <v>0</v>
      </c>
      <c r="K21" s="94" t="str">
        <f>IF(I21=0," ",J21/I21)</f>
        <v> </v>
      </c>
      <c r="M21" s="172">
        <f>+E21-I21</f>
        <v>0</v>
      </c>
      <c r="N21" s="172">
        <f>+F21-J21</f>
        <v>0</v>
      </c>
    </row>
    <row r="22" spans="2:14" ht="12.75">
      <c r="B22" s="208" t="s">
        <v>78</v>
      </c>
      <c r="C22" s="208"/>
      <c r="D22" s="88"/>
      <c r="E22" s="169">
        <f>SUM(E23:E27)</f>
        <v>105634767</v>
      </c>
      <c r="F22" s="169">
        <f>SUM(F23:F27)</f>
        <v>34929127</v>
      </c>
      <c r="G22" s="131">
        <f t="shared" si="0"/>
        <v>0.330659384140072</v>
      </c>
      <c r="I22" s="169">
        <f>SUM(I23:I27)</f>
        <v>134369274</v>
      </c>
      <c r="J22" s="169">
        <f>SUM(J23:J27)</f>
        <v>35766496</v>
      </c>
      <c r="K22" s="131">
        <f t="shared" si="1"/>
        <v>0.26618061507126994</v>
      </c>
      <c r="M22" s="169">
        <f t="shared" si="2"/>
        <v>-28734507</v>
      </c>
      <c r="N22" s="169">
        <f t="shared" si="3"/>
        <v>-837369</v>
      </c>
    </row>
    <row r="23" spans="2:14" ht="12.75">
      <c r="B23" s="215" t="s">
        <v>79</v>
      </c>
      <c r="C23" s="215"/>
      <c r="D23" s="89"/>
      <c r="E23" s="167">
        <v>12517</v>
      </c>
      <c r="F23" s="167">
        <v>0</v>
      </c>
      <c r="G23" s="90">
        <f t="shared" si="0"/>
        <v>0</v>
      </c>
      <c r="I23" s="167">
        <v>43679</v>
      </c>
      <c r="J23" s="167">
        <v>0</v>
      </c>
      <c r="K23" s="90">
        <f t="shared" si="1"/>
        <v>0</v>
      </c>
      <c r="M23" s="167">
        <f t="shared" si="2"/>
        <v>-31162</v>
      </c>
      <c r="N23" s="167">
        <f t="shared" si="3"/>
        <v>0</v>
      </c>
    </row>
    <row r="24" spans="2:14" ht="12.75">
      <c r="B24" s="215" t="s">
        <v>80</v>
      </c>
      <c r="C24" s="215"/>
      <c r="D24" s="89"/>
      <c r="E24" s="167">
        <v>14686559</v>
      </c>
      <c r="F24" s="167">
        <v>3653250</v>
      </c>
      <c r="G24" s="90">
        <f t="shared" si="0"/>
        <v>0.24874785169214927</v>
      </c>
      <c r="I24" s="167">
        <v>14976711</v>
      </c>
      <c r="J24" s="167">
        <v>3744039</v>
      </c>
      <c r="K24" s="90">
        <f t="shared" si="1"/>
        <v>0.2499907356161176</v>
      </c>
      <c r="M24" s="167">
        <f t="shared" si="2"/>
        <v>-290152</v>
      </c>
      <c r="N24" s="167">
        <f t="shared" si="3"/>
        <v>-90789</v>
      </c>
    </row>
    <row r="25" spans="2:14" ht="12.75">
      <c r="B25" s="207" t="s">
        <v>81</v>
      </c>
      <c r="C25" s="207"/>
      <c r="D25" s="89"/>
      <c r="E25" s="168">
        <v>18405</v>
      </c>
      <c r="F25" s="168">
        <v>8726</v>
      </c>
      <c r="G25" s="91">
        <f t="shared" si="0"/>
        <v>0.47411029611518607</v>
      </c>
      <c r="I25" s="168">
        <v>109138</v>
      </c>
      <c r="J25" s="168">
        <v>79511</v>
      </c>
      <c r="K25" s="91">
        <f t="shared" si="1"/>
        <v>0.728536348476241</v>
      </c>
      <c r="M25" s="168">
        <f t="shared" si="2"/>
        <v>-90733</v>
      </c>
      <c r="N25" s="168">
        <f t="shared" si="3"/>
        <v>-70785</v>
      </c>
    </row>
    <row r="26" spans="2:14" ht="12.75">
      <c r="B26" s="207" t="s">
        <v>82</v>
      </c>
      <c r="C26" s="207"/>
      <c r="D26" s="89"/>
      <c r="E26" s="168">
        <v>69731933</v>
      </c>
      <c r="F26" s="168">
        <v>18525109</v>
      </c>
      <c r="G26" s="91">
        <f t="shared" si="0"/>
        <v>0.26566177363819815</v>
      </c>
      <c r="I26" s="168">
        <v>97121837</v>
      </c>
      <c r="J26" s="168">
        <v>20596878</v>
      </c>
      <c r="K26" s="91">
        <f t="shared" si="1"/>
        <v>0.21207257436862526</v>
      </c>
      <c r="M26" s="168">
        <f t="shared" si="2"/>
        <v>-27389904</v>
      </c>
      <c r="N26" s="168">
        <f t="shared" si="3"/>
        <v>-2071769</v>
      </c>
    </row>
    <row r="27" spans="2:14" ht="12.75">
      <c r="B27" s="213" t="s">
        <v>83</v>
      </c>
      <c r="C27" s="213"/>
      <c r="D27" s="89"/>
      <c r="E27" s="170">
        <v>21185353</v>
      </c>
      <c r="F27" s="170">
        <v>12742042</v>
      </c>
      <c r="G27" s="92">
        <f t="shared" si="0"/>
        <v>0.6014552601507277</v>
      </c>
      <c r="I27" s="170">
        <v>22117909</v>
      </c>
      <c r="J27" s="170">
        <v>11346068</v>
      </c>
      <c r="K27" s="92">
        <f t="shared" si="1"/>
        <v>0.5129810417431413</v>
      </c>
      <c r="M27" s="170">
        <f t="shared" si="2"/>
        <v>-932556</v>
      </c>
      <c r="N27" s="170">
        <f t="shared" si="3"/>
        <v>1395974</v>
      </c>
    </row>
    <row r="28" spans="2:14" ht="12.75">
      <c r="B28" s="208" t="s">
        <v>84</v>
      </c>
      <c r="C28" s="208"/>
      <c r="D28" s="88"/>
      <c r="E28" s="169">
        <f>SUM(E29)</f>
        <v>1646360</v>
      </c>
      <c r="F28" s="169">
        <f>SUM(F29)</f>
        <v>127000</v>
      </c>
      <c r="G28" s="131">
        <f t="shared" si="0"/>
        <v>0.07713987220292039</v>
      </c>
      <c r="I28" s="169">
        <f>SUM(I29)</f>
        <v>12</v>
      </c>
      <c r="J28" s="169">
        <f>SUM(J29)</f>
        <v>0</v>
      </c>
      <c r="K28" s="131">
        <f t="shared" si="1"/>
        <v>0</v>
      </c>
      <c r="M28" s="169">
        <f t="shared" si="2"/>
        <v>1646348</v>
      </c>
      <c r="N28" s="169">
        <f t="shared" si="3"/>
        <v>127000</v>
      </c>
    </row>
    <row r="29" spans="2:14" ht="12.75">
      <c r="B29" s="214" t="s">
        <v>85</v>
      </c>
      <c r="C29" s="214"/>
      <c r="D29" s="89"/>
      <c r="E29" s="173">
        <v>1646360</v>
      </c>
      <c r="F29" s="173">
        <v>127000</v>
      </c>
      <c r="G29" s="95">
        <f t="shared" si="0"/>
        <v>0.07713987220292039</v>
      </c>
      <c r="I29" s="173">
        <v>12</v>
      </c>
      <c r="J29" s="173">
        <v>0</v>
      </c>
      <c r="K29" s="95">
        <f t="shared" si="1"/>
        <v>0</v>
      </c>
      <c r="M29" s="173">
        <f t="shared" si="2"/>
        <v>1646348</v>
      </c>
      <c r="N29" s="173">
        <f t="shared" si="3"/>
        <v>127000</v>
      </c>
    </row>
    <row r="30" spans="2:14" ht="12.75">
      <c r="B30" s="208" t="s">
        <v>86</v>
      </c>
      <c r="C30" s="208"/>
      <c r="D30" s="88"/>
      <c r="E30" s="169">
        <f>SUM(E31)</f>
        <v>0</v>
      </c>
      <c r="F30" s="169">
        <f>SUM(F31)</f>
        <v>0</v>
      </c>
      <c r="G30" s="131" t="str">
        <f t="shared" si="0"/>
        <v> </v>
      </c>
      <c r="I30" s="169">
        <f>SUM(I31)</f>
        <v>0</v>
      </c>
      <c r="J30" s="169">
        <f>SUM(J31)</f>
        <v>0</v>
      </c>
      <c r="K30" s="131" t="str">
        <f t="shared" si="1"/>
        <v> </v>
      </c>
      <c r="M30" s="169">
        <f t="shared" si="2"/>
        <v>0</v>
      </c>
      <c r="N30" s="169">
        <f t="shared" si="3"/>
        <v>0</v>
      </c>
    </row>
    <row r="31" spans="2:14" ht="12.75">
      <c r="B31" s="214" t="s">
        <v>87</v>
      </c>
      <c r="C31" s="214"/>
      <c r="D31" s="89"/>
      <c r="E31" s="173">
        <v>0</v>
      </c>
      <c r="F31" s="173">
        <v>0</v>
      </c>
      <c r="G31" s="95" t="str">
        <f t="shared" si="0"/>
        <v> </v>
      </c>
      <c r="I31" s="173">
        <v>0</v>
      </c>
      <c r="J31" s="173">
        <v>0</v>
      </c>
      <c r="K31" s="95" t="str">
        <f t="shared" si="1"/>
        <v> </v>
      </c>
      <c r="M31" s="173">
        <f t="shared" si="2"/>
        <v>0</v>
      </c>
      <c r="N31" s="173">
        <f t="shared" si="3"/>
        <v>0</v>
      </c>
    </row>
    <row r="32" spans="2:14" ht="12.75">
      <c r="B32" s="208" t="s">
        <v>88</v>
      </c>
      <c r="C32" s="208"/>
      <c r="D32" s="88"/>
      <c r="E32" s="169">
        <f>SUM(E33:E39)</f>
        <v>539611768</v>
      </c>
      <c r="F32" s="169">
        <f>SUM(F33:F39)</f>
        <v>135209675</v>
      </c>
      <c r="G32" s="131">
        <f t="shared" si="0"/>
        <v>0.25056843274774543</v>
      </c>
      <c r="I32" s="169">
        <f>SUM(I33:I39)</f>
        <v>548136284</v>
      </c>
      <c r="J32" s="169">
        <f>SUM(J33:J39)</f>
        <v>178871820</v>
      </c>
      <c r="K32" s="131">
        <f t="shared" si="1"/>
        <v>0.32632727520734606</v>
      </c>
      <c r="M32" s="169">
        <f t="shared" si="2"/>
        <v>-8524516</v>
      </c>
      <c r="N32" s="169">
        <f t="shared" si="3"/>
        <v>-43662145</v>
      </c>
    </row>
    <row r="33" spans="2:14" ht="12.75">
      <c r="B33" s="215" t="s">
        <v>89</v>
      </c>
      <c r="C33" s="215"/>
      <c r="D33" s="89"/>
      <c r="E33" s="167">
        <v>0</v>
      </c>
      <c r="F33" s="167">
        <v>0</v>
      </c>
      <c r="G33" s="90" t="str">
        <f t="shared" si="0"/>
        <v> </v>
      </c>
      <c r="I33" s="167">
        <v>0</v>
      </c>
      <c r="J33" s="167">
        <v>0</v>
      </c>
      <c r="K33" s="90" t="str">
        <f t="shared" si="1"/>
        <v> </v>
      </c>
      <c r="M33" s="167">
        <f t="shared" si="2"/>
        <v>0</v>
      </c>
      <c r="N33" s="167">
        <f t="shared" si="3"/>
        <v>0</v>
      </c>
    </row>
    <row r="34" spans="2:14" ht="12.75">
      <c r="B34" s="215" t="s">
        <v>90</v>
      </c>
      <c r="C34" s="215"/>
      <c r="D34" s="89"/>
      <c r="E34" s="167">
        <v>167215597</v>
      </c>
      <c r="F34" s="167">
        <v>33073100</v>
      </c>
      <c r="G34" s="90">
        <f t="shared" si="0"/>
        <v>0.1977871717313547</v>
      </c>
      <c r="I34" s="167">
        <v>216155964</v>
      </c>
      <c r="J34" s="167">
        <v>33948838</v>
      </c>
      <c r="K34" s="90">
        <f t="shared" si="1"/>
        <v>0.1570571423141487</v>
      </c>
      <c r="M34" s="167">
        <f t="shared" si="2"/>
        <v>-48940367</v>
      </c>
      <c r="N34" s="167">
        <f t="shared" si="3"/>
        <v>-875738</v>
      </c>
    </row>
    <row r="35" spans="2:14" ht="12.75">
      <c r="B35" s="217" t="s">
        <v>91</v>
      </c>
      <c r="C35" s="218"/>
      <c r="D35" s="89"/>
      <c r="E35" s="168">
        <v>267088616</v>
      </c>
      <c r="F35" s="168">
        <v>87804160</v>
      </c>
      <c r="G35" s="91">
        <f t="shared" si="0"/>
        <v>0.32874542283000185</v>
      </c>
      <c r="I35" s="168">
        <v>249937263</v>
      </c>
      <c r="J35" s="168">
        <v>131128851</v>
      </c>
      <c r="K35" s="91">
        <f t="shared" si="1"/>
        <v>0.5246470631311987</v>
      </c>
      <c r="M35" s="168">
        <f t="shared" si="2"/>
        <v>17151353</v>
      </c>
      <c r="N35" s="168">
        <f t="shared" si="3"/>
        <v>-43324691</v>
      </c>
    </row>
    <row r="36" spans="2:14" ht="12.75">
      <c r="B36" s="112" t="s">
        <v>92</v>
      </c>
      <c r="C36" s="113"/>
      <c r="D36" s="89"/>
      <c r="E36" s="168">
        <v>38779619</v>
      </c>
      <c r="F36" s="168">
        <v>0</v>
      </c>
      <c r="G36" s="91">
        <f t="shared" si="0"/>
        <v>0</v>
      </c>
      <c r="I36" s="168">
        <v>0</v>
      </c>
      <c r="J36" s="168">
        <v>0</v>
      </c>
      <c r="K36" s="91" t="str">
        <f t="shared" si="1"/>
        <v> </v>
      </c>
      <c r="M36" s="168">
        <f t="shared" si="2"/>
        <v>38779619</v>
      </c>
      <c r="N36" s="168">
        <f aca="true" t="shared" si="4" ref="N36:N41">+F36-J36</f>
        <v>0</v>
      </c>
    </row>
    <row r="37" spans="2:14" ht="12.75">
      <c r="B37" s="207" t="s">
        <v>93</v>
      </c>
      <c r="C37" s="207"/>
      <c r="D37" s="89"/>
      <c r="E37" s="168">
        <v>2873305</v>
      </c>
      <c r="F37" s="168">
        <v>1339243</v>
      </c>
      <c r="G37" s="91">
        <f t="shared" si="0"/>
        <v>0.46609844760650193</v>
      </c>
      <c r="I37" s="168">
        <v>2851634</v>
      </c>
      <c r="J37" s="168">
        <v>1305706</v>
      </c>
      <c r="K37" s="91">
        <f t="shared" si="1"/>
        <v>0.4578799383090537</v>
      </c>
      <c r="M37" s="168">
        <f>+E37-I37</f>
        <v>21671</v>
      </c>
      <c r="N37" s="168">
        <f t="shared" si="4"/>
        <v>33537</v>
      </c>
    </row>
    <row r="38" spans="2:14" ht="12.75">
      <c r="B38" s="207" t="s">
        <v>94</v>
      </c>
      <c r="C38" s="207"/>
      <c r="D38" s="89"/>
      <c r="E38" s="168">
        <v>128260</v>
      </c>
      <c r="F38" s="168">
        <v>88560</v>
      </c>
      <c r="G38" s="91">
        <f t="shared" si="0"/>
        <v>0.6904724777795104</v>
      </c>
      <c r="I38" s="168">
        <v>2062476</v>
      </c>
      <c r="J38" s="168">
        <v>1379723</v>
      </c>
      <c r="K38" s="91">
        <f t="shared" si="1"/>
        <v>0.6689643903735122</v>
      </c>
      <c r="M38" s="168">
        <f>+E38-I38</f>
        <v>-1934216</v>
      </c>
      <c r="N38" s="168">
        <f t="shared" si="4"/>
        <v>-1291163</v>
      </c>
    </row>
    <row r="39" spans="2:14" ht="12.75">
      <c r="B39" s="206" t="s">
        <v>95</v>
      </c>
      <c r="C39" s="206"/>
      <c r="D39" s="89"/>
      <c r="E39" s="172">
        <v>63526371</v>
      </c>
      <c r="F39" s="172">
        <v>12904612</v>
      </c>
      <c r="G39" s="94">
        <f t="shared" si="0"/>
        <v>0.2031378748205214</v>
      </c>
      <c r="I39" s="172">
        <v>77128947</v>
      </c>
      <c r="J39" s="172">
        <v>11108702</v>
      </c>
      <c r="K39" s="94">
        <f t="shared" si="1"/>
        <v>0.14402766318072513</v>
      </c>
      <c r="M39" s="172">
        <f>+E39-I39</f>
        <v>-13602576</v>
      </c>
      <c r="N39" s="172">
        <f t="shared" si="4"/>
        <v>1795910</v>
      </c>
    </row>
    <row r="40" spans="5:14" ht="3.75" customHeight="1">
      <c r="E40" s="174"/>
      <c r="F40" s="174"/>
      <c r="G40" s="86"/>
      <c r="I40" s="174">
        <v>0</v>
      </c>
      <c r="J40" s="174" t="s">
        <v>135</v>
      </c>
      <c r="K40" s="86" t="str">
        <f t="shared" si="1"/>
        <v> </v>
      </c>
      <c r="M40" s="174"/>
      <c r="N40" s="174"/>
    </row>
    <row r="41" spans="2:14" ht="21" customHeight="1">
      <c r="B41" s="216" t="s">
        <v>96</v>
      </c>
      <c r="C41" s="216"/>
      <c r="D41" s="45"/>
      <c r="E41" s="169">
        <f>+E32+E30+E28+E22+E19+E16+E13+E9</f>
        <v>6303924476</v>
      </c>
      <c r="F41" s="169">
        <f>+F32+F30+F28+F22+F19+F16+F13+F9</f>
        <v>2027688738</v>
      </c>
      <c r="G41" s="131">
        <f>IF(E41=0," ",F41/E41)</f>
        <v>0.3216549858298144</v>
      </c>
      <c r="I41" s="169">
        <f>+I32+I30+I28+I22+I19+I16+I13+I9</f>
        <v>6553555229</v>
      </c>
      <c r="J41" s="169">
        <f>+J32+J30+J28+J22+J19+J16+J13+J9</f>
        <v>1974642684</v>
      </c>
      <c r="K41" s="131">
        <f>IF(I41=0," ",J41/I41)</f>
        <v>0.30130862028323957</v>
      </c>
      <c r="M41" s="169">
        <f>+E41-I41</f>
        <v>-249630753</v>
      </c>
      <c r="N41" s="169">
        <f t="shared" si="4"/>
        <v>53046054</v>
      </c>
    </row>
    <row r="42" spans="2:3" ht="12.75">
      <c r="B42" s="65" t="s">
        <v>142</v>
      </c>
      <c r="C42" s="63"/>
    </row>
    <row r="43" spans="2:3" ht="12.75">
      <c r="B43" s="64" t="s">
        <v>143</v>
      </c>
      <c r="C43" s="63"/>
    </row>
    <row r="44" ht="12.75">
      <c r="B44" s="1"/>
    </row>
  </sheetData>
  <sheetProtection/>
  <mergeCells count="39">
    <mergeCell ref="B15:C15"/>
    <mergeCell ref="B10:C10"/>
    <mergeCell ref="E7:G7"/>
    <mergeCell ref="B5:C5"/>
    <mergeCell ref="B1:N1"/>
    <mergeCell ref="B2:N2"/>
    <mergeCell ref="B3:N3"/>
    <mergeCell ref="B14:C14"/>
    <mergeCell ref="M7:N7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zoomScale="115" zoomScaleNormal="115" zoomScalePageLayoutView="0" workbookViewId="0" topLeftCell="A1">
      <selection activeCell="A1" sqref="A1:W1"/>
    </sheetView>
  </sheetViews>
  <sheetFormatPr defaultColWidth="16.8515625" defaultRowHeight="12.75"/>
  <cols>
    <col min="1" max="1" width="35.00390625" style="37" customWidth="1"/>
    <col min="2" max="3" width="13.7109375" style="37" bestFit="1" customWidth="1"/>
    <col min="4" max="4" width="11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10.7109375" style="37" bestFit="1" customWidth="1"/>
    <col min="11" max="11" width="12.421875" style="37" bestFit="1" customWidth="1"/>
    <col min="12" max="12" width="11.57421875" style="37" bestFit="1" customWidth="1"/>
    <col min="13" max="13" width="9.710937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8.75">
      <c r="A2" s="226" t="s">
        <v>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>
      <c r="A3" s="227" t="s">
        <v>116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9" t="s">
        <v>26</v>
      </c>
      <c r="C8" s="230"/>
      <c r="D8" s="231"/>
      <c r="E8" s="229" t="s">
        <v>146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ht="22.5" customHeight="1">
      <c r="A9" s="232" t="s">
        <v>133</v>
      </c>
      <c r="B9" s="237" t="s">
        <v>24</v>
      </c>
      <c r="C9" s="238"/>
      <c r="D9" s="239"/>
      <c r="E9" s="237" t="s">
        <v>28</v>
      </c>
      <c r="F9" s="238"/>
      <c r="G9" s="239"/>
      <c r="H9" s="223" t="s">
        <v>29</v>
      </c>
      <c r="I9" s="224"/>
      <c r="J9" s="225"/>
      <c r="K9" s="223" t="s">
        <v>136</v>
      </c>
      <c r="L9" s="224"/>
      <c r="M9" s="225"/>
      <c r="N9" s="223" t="s">
        <v>30</v>
      </c>
      <c r="O9" s="224"/>
      <c r="P9" s="225"/>
      <c r="Q9" s="223" t="s">
        <v>139</v>
      </c>
      <c r="R9" s="224"/>
      <c r="S9" s="225"/>
      <c r="T9" s="234" t="s">
        <v>4</v>
      </c>
      <c r="U9" s="235"/>
      <c r="V9" s="235"/>
      <c r="W9" s="236"/>
    </row>
    <row r="10" spans="1:23" ht="15">
      <c r="A10" s="233"/>
      <c r="B10" s="133">
        <v>2018</v>
      </c>
      <c r="C10" s="134">
        <v>2019</v>
      </c>
      <c r="D10" s="135" t="s">
        <v>13</v>
      </c>
      <c r="E10" s="133">
        <v>2018</v>
      </c>
      <c r="F10" s="157">
        <v>2019</v>
      </c>
      <c r="G10" s="135" t="s">
        <v>13</v>
      </c>
      <c r="H10" s="133">
        <v>2018</v>
      </c>
      <c r="I10" s="157">
        <v>2019</v>
      </c>
      <c r="J10" s="135" t="s">
        <v>13</v>
      </c>
      <c r="K10" s="133">
        <v>2018</v>
      </c>
      <c r="L10" s="157">
        <v>2019</v>
      </c>
      <c r="M10" s="135" t="s">
        <v>13</v>
      </c>
      <c r="N10" s="133">
        <v>2018</v>
      </c>
      <c r="O10" s="157">
        <v>2019</v>
      </c>
      <c r="P10" s="135" t="s">
        <v>13</v>
      </c>
      <c r="Q10" s="133">
        <v>2018</v>
      </c>
      <c r="R10" s="159">
        <v>2019</v>
      </c>
      <c r="S10" s="135" t="s">
        <v>13</v>
      </c>
      <c r="T10" s="133">
        <v>2018</v>
      </c>
      <c r="U10" s="157">
        <v>2019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5">
        <f>SUM(B14:B18)</f>
        <v>5762666348</v>
      </c>
      <c r="C12" s="176">
        <f>SUM(C14:C18)</f>
        <v>6005418933</v>
      </c>
      <c r="D12" s="177">
        <f>+C12-B12</f>
        <v>242752585</v>
      </c>
      <c r="E12" s="175">
        <f>SUM(E14:E18)</f>
        <v>1501113533</v>
      </c>
      <c r="F12" s="176">
        <f>SUM(F14:F18)</f>
        <v>1446228531</v>
      </c>
      <c r="G12" s="177">
        <f>+F12-E12</f>
        <v>-54885002</v>
      </c>
      <c r="H12" s="175">
        <f>SUM(H14:H18)</f>
        <v>92806286</v>
      </c>
      <c r="I12" s="178">
        <f>SUM(I14:I18)</f>
        <v>161270424</v>
      </c>
      <c r="J12" s="179">
        <f>+I12-H12</f>
        <v>68464138</v>
      </c>
      <c r="K12" s="175">
        <f>SUM(K14:K18)</f>
        <v>0</v>
      </c>
      <c r="L12" s="176">
        <f>SUM(L14:L18)</f>
        <v>0</v>
      </c>
      <c r="M12" s="177">
        <f>+L12-K12</f>
        <v>0</v>
      </c>
      <c r="N12" s="175">
        <f>SUM(N14:N18)</f>
        <v>295439639</v>
      </c>
      <c r="O12" s="176">
        <f>SUM(O14:O18)</f>
        <v>186424870</v>
      </c>
      <c r="P12" s="177">
        <f>+O12-N12</f>
        <v>-109014769</v>
      </c>
      <c r="Q12" s="175">
        <f>SUM(Q14:Q18)</f>
        <v>2992607</v>
      </c>
      <c r="R12" s="176">
        <f>SUM(R14:R18)</f>
        <v>1847038</v>
      </c>
      <c r="S12" s="177">
        <f>+R12-Q12</f>
        <v>-1145569</v>
      </c>
      <c r="T12" s="175">
        <f>SUM(T14:T18)</f>
        <v>1892352065</v>
      </c>
      <c r="U12" s="176">
        <f>SUM(U14:U18)</f>
        <v>1795770863</v>
      </c>
      <c r="V12" s="176">
        <f>+U12-T12</f>
        <v>-96581202</v>
      </c>
      <c r="W12" s="101">
        <f>IF(T12=0,"",V12/T12)</f>
        <v>-0.05103764980434547</v>
      </c>
      <c r="X12" s="40"/>
    </row>
    <row r="13" spans="1:23" ht="4.5" customHeight="1">
      <c r="A13" s="38"/>
      <c r="B13" s="180"/>
      <c r="C13" s="181"/>
      <c r="D13" s="182"/>
      <c r="E13" s="180"/>
      <c r="F13" s="181"/>
      <c r="G13" s="182"/>
      <c r="H13" s="180"/>
      <c r="I13" s="181"/>
      <c r="J13" s="182"/>
      <c r="K13" s="180"/>
      <c r="L13" s="181"/>
      <c r="M13" s="182"/>
      <c r="N13" s="180"/>
      <c r="O13" s="181"/>
      <c r="P13" s="182"/>
      <c r="Q13" s="180"/>
      <c r="R13" s="181"/>
      <c r="S13" s="182"/>
      <c r="T13" s="180"/>
      <c r="U13" s="181"/>
      <c r="V13" s="181"/>
      <c r="W13" s="100">
        <f aca="true" t="shared" si="0" ref="W13:W25">IF(T13=0,"",V13/T13)</f>
      </c>
    </row>
    <row r="14" spans="1:25" ht="15">
      <c r="A14" s="114" t="s">
        <v>36</v>
      </c>
      <c r="B14" s="180">
        <f>+Egresos_1!F20</f>
        <v>2353717981</v>
      </c>
      <c r="C14" s="181">
        <f>+Egresos_1!J20</f>
        <v>2531752622</v>
      </c>
      <c r="D14" s="182">
        <f>+C14-B14</f>
        <v>178034641</v>
      </c>
      <c r="E14" s="180">
        <v>668607901</v>
      </c>
      <c r="F14" s="181">
        <v>703365363</v>
      </c>
      <c r="G14" s="182">
        <f>+F14-E14</f>
        <v>34757462</v>
      </c>
      <c r="H14" s="180">
        <v>204364</v>
      </c>
      <c r="I14" s="181">
        <v>112935</v>
      </c>
      <c r="J14" s="182">
        <f>+I14-H14</f>
        <v>-91429</v>
      </c>
      <c r="K14" s="180">
        <v>0</v>
      </c>
      <c r="L14" s="181">
        <v>0</v>
      </c>
      <c r="M14" s="182">
        <f>+L14-K14</f>
        <v>0</v>
      </c>
      <c r="N14" s="180">
        <v>3045</v>
      </c>
      <c r="O14" s="181">
        <v>8775</v>
      </c>
      <c r="P14" s="182">
        <f>+O14-N14</f>
        <v>5730</v>
      </c>
      <c r="Q14" s="180">
        <v>0</v>
      </c>
      <c r="R14" s="181">
        <v>0</v>
      </c>
      <c r="S14" s="182">
        <f>+R14-Q14</f>
        <v>0</v>
      </c>
      <c r="T14" s="180">
        <f aca="true" t="shared" si="1" ref="T14:U18">+E14+H14+K14+N14+Q14</f>
        <v>668815310</v>
      </c>
      <c r="U14" s="181">
        <f t="shared" si="1"/>
        <v>703487073</v>
      </c>
      <c r="V14" s="181">
        <f>+U14-T14</f>
        <v>34671763</v>
      </c>
      <c r="W14" s="100">
        <f t="shared" si="0"/>
        <v>0.05184056417608024</v>
      </c>
      <c r="Y14" s="39"/>
    </row>
    <row r="15" spans="1:25" ht="15">
      <c r="A15" s="114" t="s">
        <v>37</v>
      </c>
      <c r="B15" s="180">
        <f>+Egresos_1!F21</f>
        <v>186061576</v>
      </c>
      <c r="C15" s="181">
        <f>+Egresos_1!J21</f>
        <v>174925612</v>
      </c>
      <c r="D15" s="182">
        <f>+C15-B15</f>
        <v>-11135964</v>
      </c>
      <c r="E15" s="180">
        <v>56186919</v>
      </c>
      <c r="F15" s="181">
        <v>44155438</v>
      </c>
      <c r="G15" s="182">
        <f>+F15-E15</f>
        <v>-12031481</v>
      </c>
      <c r="H15" s="180">
        <v>143211</v>
      </c>
      <c r="I15" s="181">
        <v>164175</v>
      </c>
      <c r="J15" s="182">
        <f>+I15-H15</f>
        <v>20964</v>
      </c>
      <c r="K15" s="180">
        <v>0</v>
      </c>
      <c r="L15" s="181">
        <v>0</v>
      </c>
      <c r="M15" s="182">
        <f>+L15-K15</f>
        <v>0</v>
      </c>
      <c r="N15" s="180">
        <v>0</v>
      </c>
      <c r="O15" s="181">
        <v>0</v>
      </c>
      <c r="P15" s="182">
        <f>+O15-N15</f>
        <v>0</v>
      </c>
      <c r="Q15" s="180">
        <v>0</v>
      </c>
      <c r="R15" s="181">
        <v>0</v>
      </c>
      <c r="S15" s="182">
        <f>+R15-Q15</f>
        <v>0</v>
      </c>
      <c r="T15" s="180">
        <f t="shared" si="1"/>
        <v>56330130</v>
      </c>
      <c r="U15" s="181">
        <f t="shared" si="1"/>
        <v>44319613</v>
      </c>
      <c r="V15" s="181">
        <f>+U15-T15</f>
        <v>-12010517</v>
      </c>
      <c r="W15" s="100">
        <f t="shared" si="0"/>
        <v>-0.21321656811372527</v>
      </c>
      <c r="Y15" s="39"/>
    </row>
    <row r="16" spans="1:25" ht="15">
      <c r="A16" s="114" t="s">
        <v>38</v>
      </c>
      <c r="B16" s="180">
        <f>+Egresos_1!F22</f>
        <v>2522966307</v>
      </c>
      <c r="C16" s="181">
        <f>+Egresos_1!J22</f>
        <v>2676307425</v>
      </c>
      <c r="D16" s="182">
        <f>+C16-B16</f>
        <v>153341118</v>
      </c>
      <c r="E16" s="180">
        <v>546211402</v>
      </c>
      <c r="F16" s="181">
        <v>602172672</v>
      </c>
      <c r="G16" s="182">
        <f>+F16-E16</f>
        <v>55961270</v>
      </c>
      <c r="H16" s="180">
        <v>91781253</v>
      </c>
      <c r="I16" s="181">
        <v>151122862</v>
      </c>
      <c r="J16" s="182">
        <f>+I16-H16</f>
        <v>59341609</v>
      </c>
      <c r="K16" s="180">
        <v>0</v>
      </c>
      <c r="L16" s="181">
        <v>0</v>
      </c>
      <c r="M16" s="182">
        <f>+L16-K16</f>
        <v>0</v>
      </c>
      <c r="N16" s="180">
        <v>295436594</v>
      </c>
      <c r="O16" s="181">
        <v>186348945</v>
      </c>
      <c r="P16" s="182">
        <f>+O16-N16</f>
        <v>-109087649</v>
      </c>
      <c r="Q16" s="180">
        <v>2992607</v>
      </c>
      <c r="R16" s="181">
        <v>1847038</v>
      </c>
      <c r="S16" s="182">
        <f>+R16-Q16</f>
        <v>-1145569</v>
      </c>
      <c r="T16" s="180">
        <f t="shared" si="1"/>
        <v>936421856</v>
      </c>
      <c r="U16" s="181">
        <f t="shared" si="1"/>
        <v>941491517</v>
      </c>
      <c r="V16" s="181">
        <f>+U16-T16</f>
        <v>5069661</v>
      </c>
      <c r="W16" s="100">
        <f>IF(T16=0,"",V16/T16)</f>
        <v>0.005413864453842906</v>
      </c>
      <c r="Y16" s="39"/>
    </row>
    <row r="17" spans="1:25" ht="15">
      <c r="A17" s="114" t="s">
        <v>107</v>
      </c>
      <c r="B17" s="180">
        <f>+Egresos_1!F23</f>
        <v>594285717</v>
      </c>
      <c r="C17" s="181">
        <f>+Egresos_1!J23</f>
        <v>488064000</v>
      </c>
      <c r="D17" s="182">
        <f>+C17-B17</f>
        <v>-106221717</v>
      </c>
      <c r="E17" s="180">
        <v>195855641</v>
      </c>
      <c r="F17" s="181">
        <v>61302767</v>
      </c>
      <c r="G17" s="182">
        <f>+F17-E17</f>
        <v>-134552874</v>
      </c>
      <c r="H17" s="180">
        <v>0</v>
      </c>
      <c r="I17" s="181">
        <v>9403398</v>
      </c>
      <c r="J17" s="182">
        <f>+I17-H17</f>
        <v>9403398</v>
      </c>
      <c r="K17" s="180">
        <v>0</v>
      </c>
      <c r="L17" s="181">
        <v>0</v>
      </c>
      <c r="M17" s="182">
        <f>+L17-K17</f>
        <v>0</v>
      </c>
      <c r="N17" s="180">
        <v>0</v>
      </c>
      <c r="O17" s="181">
        <v>0</v>
      </c>
      <c r="P17" s="182">
        <f>+O17-N17</f>
        <v>0</v>
      </c>
      <c r="Q17" s="180">
        <v>0</v>
      </c>
      <c r="R17" s="181">
        <v>0</v>
      </c>
      <c r="S17" s="182">
        <f>+R17-Q17</f>
        <v>0</v>
      </c>
      <c r="T17" s="180">
        <f t="shared" si="1"/>
        <v>195855641</v>
      </c>
      <c r="U17" s="181">
        <f t="shared" si="1"/>
        <v>70706165</v>
      </c>
      <c r="V17" s="181">
        <f>+U17-T17</f>
        <v>-125149476</v>
      </c>
      <c r="W17" s="100">
        <f>IF(T17=0,"",V17/T17)</f>
        <v>-0.6389883659261058</v>
      </c>
      <c r="Y17" s="39"/>
    </row>
    <row r="18" spans="1:25" ht="15">
      <c r="A18" s="114" t="s">
        <v>61</v>
      </c>
      <c r="B18" s="180">
        <f>+Egresos_1!F24</f>
        <v>105634767</v>
      </c>
      <c r="C18" s="181">
        <f>+Egresos_1!J24</f>
        <v>134369274</v>
      </c>
      <c r="D18" s="182">
        <f>+C18-B18</f>
        <v>28734507</v>
      </c>
      <c r="E18" s="180">
        <v>34251670</v>
      </c>
      <c r="F18" s="181">
        <v>35232291</v>
      </c>
      <c r="G18" s="182">
        <f>+F18-E18</f>
        <v>980621</v>
      </c>
      <c r="H18" s="180">
        <v>677458</v>
      </c>
      <c r="I18" s="181">
        <v>467054</v>
      </c>
      <c r="J18" s="182">
        <f>+I18-H18</f>
        <v>-210404</v>
      </c>
      <c r="K18" s="180">
        <v>0</v>
      </c>
      <c r="L18" s="181">
        <v>0</v>
      </c>
      <c r="M18" s="182">
        <f>+L18-K18</f>
        <v>0</v>
      </c>
      <c r="N18" s="180">
        <v>0</v>
      </c>
      <c r="O18" s="181">
        <v>67150</v>
      </c>
      <c r="P18" s="182">
        <f>+O18-N18</f>
        <v>67150</v>
      </c>
      <c r="Q18" s="180">
        <v>0</v>
      </c>
      <c r="R18" s="181">
        <v>0</v>
      </c>
      <c r="S18" s="182">
        <f>+R18-Q18</f>
        <v>0</v>
      </c>
      <c r="T18" s="180">
        <f t="shared" si="1"/>
        <v>34929128</v>
      </c>
      <c r="U18" s="181">
        <f t="shared" si="1"/>
        <v>35766495</v>
      </c>
      <c r="V18" s="181">
        <f>+U18-T18</f>
        <v>837367</v>
      </c>
      <c r="W18" s="100">
        <f>IF(T18=0,"",V18/T18)</f>
        <v>0.023973315337273808</v>
      </c>
      <c r="Y18" s="39"/>
    </row>
    <row r="19" spans="1:23" ht="4.5" customHeight="1">
      <c r="A19" s="38"/>
      <c r="B19" s="180"/>
      <c r="C19" s="181"/>
      <c r="D19" s="182"/>
      <c r="E19" s="180"/>
      <c r="F19" s="181"/>
      <c r="G19" s="182"/>
      <c r="H19" s="180"/>
      <c r="I19" s="181"/>
      <c r="J19" s="182"/>
      <c r="K19" s="180"/>
      <c r="L19" s="181"/>
      <c r="M19" s="182"/>
      <c r="N19" s="180"/>
      <c r="O19" s="181"/>
      <c r="P19" s="182"/>
      <c r="Q19" s="180"/>
      <c r="R19" s="181"/>
      <c r="S19" s="182"/>
      <c r="T19" s="180"/>
      <c r="U19" s="181"/>
      <c r="V19" s="181"/>
      <c r="W19" s="100">
        <f t="shared" si="0"/>
      </c>
    </row>
    <row r="20" spans="1:24" ht="15">
      <c r="A20" s="132" t="s">
        <v>16</v>
      </c>
      <c r="B20" s="175">
        <f>+B22+B23</f>
        <v>541258128</v>
      </c>
      <c r="C20" s="178">
        <f>+C22+C23</f>
        <v>548136296</v>
      </c>
      <c r="D20" s="177">
        <f>+C20-B20</f>
        <v>6878168</v>
      </c>
      <c r="E20" s="175">
        <f>+E22+E23</f>
        <v>106702525</v>
      </c>
      <c r="F20" s="178">
        <f>+F22+F23</f>
        <v>164943057</v>
      </c>
      <c r="G20" s="177">
        <f>+F20-E20</f>
        <v>58240532</v>
      </c>
      <c r="H20" s="175">
        <f>+H22+H23</f>
        <v>8449314</v>
      </c>
      <c r="I20" s="178">
        <f>+I22+I23</f>
        <v>4793393</v>
      </c>
      <c r="J20" s="179">
        <f>+I20-H20</f>
        <v>-3655921</v>
      </c>
      <c r="K20" s="175">
        <f>+K22+K23</f>
        <v>4913869</v>
      </c>
      <c r="L20" s="178">
        <f>+L22+L23</f>
        <v>638707</v>
      </c>
      <c r="M20" s="179">
        <f>+L20-K20</f>
        <v>-4275162</v>
      </c>
      <c r="N20" s="175">
        <f>+N22+N23</f>
        <v>15270965</v>
      </c>
      <c r="O20" s="178">
        <f>+O22+O23</f>
        <v>8494354</v>
      </c>
      <c r="P20" s="177">
        <f>+O20-N20</f>
        <v>-6776611</v>
      </c>
      <c r="Q20" s="175">
        <f>+Q22+Q23</f>
        <v>0</v>
      </c>
      <c r="R20" s="178">
        <f>+R22+R23</f>
        <v>2310</v>
      </c>
      <c r="S20" s="177">
        <f>+R20-Q20</f>
        <v>2310</v>
      </c>
      <c r="T20" s="175">
        <f>+T22+T23</f>
        <v>135336673</v>
      </c>
      <c r="U20" s="178">
        <f>+U22+U23</f>
        <v>178871821</v>
      </c>
      <c r="V20" s="176">
        <f>+U20-T20</f>
        <v>43535148</v>
      </c>
      <c r="W20" s="101">
        <f t="shared" si="0"/>
        <v>0.32168034749901087</v>
      </c>
      <c r="X20" s="40"/>
    </row>
    <row r="21" spans="1:24" ht="4.5" customHeight="1">
      <c r="A21" s="38"/>
      <c r="B21" s="180"/>
      <c r="C21" s="181"/>
      <c r="D21" s="182"/>
      <c r="E21" s="180"/>
      <c r="F21" s="181"/>
      <c r="G21" s="182"/>
      <c r="H21" s="180"/>
      <c r="I21" s="181"/>
      <c r="J21" s="182"/>
      <c r="K21" s="180"/>
      <c r="L21" s="181"/>
      <c r="M21" s="182"/>
      <c r="N21" s="180"/>
      <c r="O21" s="181"/>
      <c r="P21" s="182"/>
      <c r="Q21" s="180"/>
      <c r="R21" s="181"/>
      <c r="S21" s="182"/>
      <c r="T21" s="180"/>
      <c r="U21" s="181"/>
      <c r="V21" s="181"/>
      <c r="W21" s="100">
        <f t="shared" si="0"/>
      </c>
      <c r="X21" s="40"/>
    </row>
    <row r="22" spans="1:24" ht="15">
      <c r="A22" s="114" t="s">
        <v>107</v>
      </c>
      <c r="B22" s="180">
        <f>+Egresos_1!F26</f>
        <v>1646360</v>
      </c>
      <c r="C22" s="181">
        <f>+Egresos_1!J26</f>
        <v>12</v>
      </c>
      <c r="D22" s="182">
        <f>+C22-B22</f>
        <v>-1646348</v>
      </c>
      <c r="E22" s="180">
        <v>127000</v>
      </c>
      <c r="F22" s="181">
        <v>0</v>
      </c>
      <c r="G22" s="182">
        <f>+F22-E22</f>
        <v>-127000</v>
      </c>
      <c r="H22" s="183">
        <v>0</v>
      </c>
      <c r="I22" s="184">
        <v>0</v>
      </c>
      <c r="J22" s="182">
        <f>+I22-H22</f>
        <v>0</v>
      </c>
      <c r="K22" s="180">
        <v>0</v>
      </c>
      <c r="L22" s="181">
        <v>0</v>
      </c>
      <c r="M22" s="182">
        <f>+L22-K22</f>
        <v>0</v>
      </c>
      <c r="N22" s="180">
        <v>0</v>
      </c>
      <c r="O22" s="181">
        <v>0</v>
      </c>
      <c r="P22" s="182">
        <f>+O22-N22</f>
        <v>0</v>
      </c>
      <c r="Q22" s="180">
        <v>0</v>
      </c>
      <c r="R22" s="181">
        <v>0</v>
      </c>
      <c r="S22" s="182">
        <f>+R22-Q22</f>
        <v>0</v>
      </c>
      <c r="T22" s="180">
        <f>+E22+H22+K22+N22+Q22</f>
        <v>127000</v>
      </c>
      <c r="U22" s="185">
        <f>+F22+I22+L22+O22+R22</f>
        <v>0</v>
      </c>
      <c r="V22" s="181">
        <f>+U22-T22</f>
        <v>-127000</v>
      </c>
      <c r="W22" s="100">
        <f t="shared" si="0"/>
        <v>-1</v>
      </c>
      <c r="X22" s="40"/>
    </row>
    <row r="23" spans="1:25" ht="15">
      <c r="A23" s="85" t="s">
        <v>39</v>
      </c>
      <c r="B23" s="175">
        <f>+B24+B25</f>
        <v>539611768</v>
      </c>
      <c r="C23" s="176">
        <f>+C24+C25</f>
        <v>548136284</v>
      </c>
      <c r="D23" s="177">
        <f>+C23-B23</f>
        <v>8524516</v>
      </c>
      <c r="E23" s="175">
        <f>+E24+E25</f>
        <v>106575525</v>
      </c>
      <c r="F23" s="176">
        <f>+F24+F25</f>
        <v>164943057</v>
      </c>
      <c r="G23" s="177">
        <f>+F23-E23</f>
        <v>58367532</v>
      </c>
      <c r="H23" s="175">
        <f>+H24+H25</f>
        <v>8449314</v>
      </c>
      <c r="I23" s="176">
        <f>+I24+I25</f>
        <v>4793393</v>
      </c>
      <c r="J23" s="177">
        <f>+I23-H23</f>
        <v>-3655921</v>
      </c>
      <c r="K23" s="175">
        <f>+K24+K25</f>
        <v>4913869</v>
      </c>
      <c r="L23" s="176">
        <f>+L24+L25</f>
        <v>638707</v>
      </c>
      <c r="M23" s="177">
        <f>+L23-K23</f>
        <v>-4275162</v>
      </c>
      <c r="N23" s="175">
        <f>+N24+N25</f>
        <v>15270965</v>
      </c>
      <c r="O23" s="176">
        <f>+O24+O25</f>
        <v>8494354</v>
      </c>
      <c r="P23" s="177">
        <f>+O23-N23</f>
        <v>-6776611</v>
      </c>
      <c r="Q23" s="175">
        <f>+Q24+Q25</f>
        <v>0</v>
      </c>
      <c r="R23" s="176">
        <f>+R24+R25</f>
        <v>2310</v>
      </c>
      <c r="S23" s="177">
        <f>+R23-Q23</f>
        <v>2310</v>
      </c>
      <c r="T23" s="175">
        <f>SUM(T24:T25)</f>
        <v>135209673</v>
      </c>
      <c r="U23" s="176">
        <f>SUM(U24:U25)</f>
        <v>178871821</v>
      </c>
      <c r="V23" s="176">
        <f>+U23-T23</f>
        <v>43662148</v>
      </c>
      <c r="W23" s="101">
        <f t="shared" si="0"/>
        <v>0.32292177794113885</v>
      </c>
      <c r="Y23" s="39"/>
    </row>
    <row r="24" spans="1:25" ht="15">
      <c r="A24" s="115" t="s">
        <v>57</v>
      </c>
      <c r="B24" s="180">
        <f>+Egresos_1!F29</f>
        <v>425651632</v>
      </c>
      <c r="C24" s="181">
        <f>+Egresos_1!J29</f>
        <v>460087812</v>
      </c>
      <c r="D24" s="182">
        <f>+C24-B24</f>
        <v>34436180</v>
      </c>
      <c r="E24" s="180">
        <v>80326094</v>
      </c>
      <c r="F24" s="186">
        <f>135839555-1</f>
        <v>135839554</v>
      </c>
      <c r="G24" s="182">
        <f>+F24-E24</f>
        <v>55513460</v>
      </c>
      <c r="H24" s="180">
        <v>1212300</v>
      </c>
      <c r="I24" s="186">
        <v>144900</v>
      </c>
      <c r="J24" s="182">
        <f>+I24-H24</f>
        <v>-1067400</v>
      </c>
      <c r="K24" s="180">
        <v>4913869</v>
      </c>
      <c r="L24" s="186">
        <v>638707</v>
      </c>
      <c r="M24" s="182">
        <f>+L24-K24</f>
        <v>-4275162</v>
      </c>
      <c r="N24" s="180">
        <v>3282661</v>
      </c>
      <c r="O24" s="186">
        <v>1655378</v>
      </c>
      <c r="P24" s="182">
        <f>+O24-N24</f>
        <v>-1627283</v>
      </c>
      <c r="Q24" s="180">
        <v>0</v>
      </c>
      <c r="R24" s="186">
        <v>0</v>
      </c>
      <c r="S24" s="182">
        <f>+R24-Q24</f>
        <v>0</v>
      </c>
      <c r="T24" s="180">
        <f>+E24+H24+K24+N24+Q24</f>
        <v>89734924</v>
      </c>
      <c r="U24" s="181">
        <f>+F24+I24+L24+O24+R24</f>
        <v>138278539</v>
      </c>
      <c r="V24" s="181">
        <f>+U24-T24</f>
        <v>48543615</v>
      </c>
      <c r="W24" s="100">
        <f t="shared" si="0"/>
        <v>0.5409668035156524</v>
      </c>
      <c r="Y24" s="39"/>
    </row>
    <row r="25" spans="1:25" ht="15.75" thickBot="1">
      <c r="A25" s="116" t="s">
        <v>58</v>
      </c>
      <c r="B25" s="180">
        <f>+Egresos_1!F30</f>
        <v>113960136</v>
      </c>
      <c r="C25" s="186">
        <f>+Egresos_1!J30</f>
        <v>88048472</v>
      </c>
      <c r="D25" s="182">
        <f>+C25-B25</f>
        <v>-25911664</v>
      </c>
      <c r="E25" s="180">
        <v>26249431</v>
      </c>
      <c r="F25" s="187">
        <v>29103503</v>
      </c>
      <c r="G25" s="182">
        <f>+F25-E25</f>
        <v>2854072</v>
      </c>
      <c r="H25" s="183">
        <v>7237014</v>
      </c>
      <c r="I25" s="184">
        <f>4793392-144900+1</f>
        <v>4648493</v>
      </c>
      <c r="J25" s="182">
        <f>+I25-H25</f>
        <v>-2588521</v>
      </c>
      <c r="K25" s="180">
        <v>0</v>
      </c>
      <c r="L25" s="187">
        <v>0</v>
      </c>
      <c r="M25" s="182">
        <f>+L25-K25</f>
        <v>0</v>
      </c>
      <c r="N25" s="180">
        <v>11988304</v>
      </c>
      <c r="O25" s="187">
        <v>6838976</v>
      </c>
      <c r="P25" s="182">
        <f>+O25-N25</f>
        <v>-5149328</v>
      </c>
      <c r="Q25" s="180">
        <v>0</v>
      </c>
      <c r="R25" s="187">
        <v>2310</v>
      </c>
      <c r="S25" s="182">
        <f>+R25-Q25</f>
        <v>2310</v>
      </c>
      <c r="T25" s="180">
        <f>+E25+H25+K25+N25+Q25</f>
        <v>45474749</v>
      </c>
      <c r="U25" s="181">
        <f>+F25+I25+L25+O25+R25</f>
        <v>40593282</v>
      </c>
      <c r="V25" s="181">
        <f>+U25-T25</f>
        <v>-4881467</v>
      </c>
      <c r="W25" s="100">
        <f t="shared" si="0"/>
        <v>-0.10734456170390297</v>
      </c>
      <c r="Y25" s="39"/>
    </row>
    <row r="26" spans="1:23" ht="15.75" thickBot="1">
      <c r="A26" s="138" t="s">
        <v>17</v>
      </c>
      <c r="B26" s="188">
        <f>+B12+B20</f>
        <v>6303924476</v>
      </c>
      <c r="C26" s="188">
        <f>+C12+C20</f>
        <v>6553555229</v>
      </c>
      <c r="D26" s="189">
        <f>+C26-B26</f>
        <v>249630753</v>
      </c>
      <c r="E26" s="188">
        <f>+E12+E20</f>
        <v>1607816058</v>
      </c>
      <c r="F26" s="190">
        <f>+F12+F20</f>
        <v>1611171588</v>
      </c>
      <c r="G26" s="189">
        <f>+F26-E26</f>
        <v>3355530</v>
      </c>
      <c r="H26" s="188">
        <f>+H12+H20</f>
        <v>101255600</v>
      </c>
      <c r="I26" s="191">
        <f>+I12+I20</f>
        <v>166063817</v>
      </c>
      <c r="J26" s="189">
        <f>+I26-H26</f>
        <v>64808217</v>
      </c>
      <c r="K26" s="188">
        <f>+K12+K20</f>
        <v>4913869</v>
      </c>
      <c r="L26" s="191">
        <f>+L12+L20</f>
        <v>638707</v>
      </c>
      <c r="M26" s="192">
        <f>+L26-K26</f>
        <v>-4275162</v>
      </c>
      <c r="N26" s="188">
        <f>+N12+N20</f>
        <v>310710604</v>
      </c>
      <c r="O26" s="190">
        <f>+O12+O20</f>
        <v>194919224</v>
      </c>
      <c r="P26" s="189">
        <f>+O26-N26</f>
        <v>-115791380</v>
      </c>
      <c r="Q26" s="188">
        <f>+Q12+Q20</f>
        <v>2992607</v>
      </c>
      <c r="R26" s="190">
        <f>+R12+R20</f>
        <v>1849348</v>
      </c>
      <c r="S26" s="189">
        <f>+R26-Q26</f>
        <v>-1143259</v>
      </c>
      <c r="T26" s="188">
        <f>+T12+T20</f>
        <v>2027688738</v>
      </c>
      <c r="U26" s="190">
        <f>+U12+U20</f>
        <v>1974642684</v>
      </c>
      <c r="V26" s="190">
        <f>+U26-T26</f>
        <v>-53046054</v>
      </c>
      <c r="W26" s="137">
        <f>IF(T26=0,"",V26/T26)</f>
        <v>-0.026160846586504048</v>
      </c>
    </row>
    <row r="27" spans="1:23" ht="15">
      <c r="A27" s="65" t="s">
        <v>142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143</v>
      </c>
      <c r="E28" s="66"/>
      <c r="F28" s="66"/>
      <c r="G28" s="63"/>
      <c r="H28" s="66"/>
      <c r="I28" s="66"/>
      <c r="J28" s="63"/>
      <c r="K28" s="66"/>
      <c r="L28" s="66"/>
      <c r="M28" s="63"/>
      <c r="N28" s="66"/>
      <c r="O28" s="66"/>
      <c r="P28" s="63"/>
      <c r="Q28" s="63"/>
      <c r="R28" s="66"/>
      <c r="S28" s="63"/>
      <c r="T28" s="66"/>
      <c r="U28" s="66"/>
      <c r="V28" s="63"/>
      <c r="W28" s="102"/>
    </row>
    <row r="29" spans="1:21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94"/>
      <c r="R29" s="194"/>
      <c r="T29" s="40"/>
      <c r="U29" s="66"/>
    </row>
    <row r="30" spans="5:21" ht="1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U30" s="66"/>
    </row>
  </sheetData>
  <sheetProtection/>
  <mergeCells count="13">
    <mergeCell ref="E9:G9"/>
    <mergeCell ref="Q9:S9"/>
    <mergeCell ref="H9:J9"/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30" zoomScaleNormal="130" zoomScalePageLayoutView="0" workbookViewId="0" topLeftCell="E1">
      <selection activeCell="T31" sqref="T31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851562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0.00390625" style="6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0.421875" style="6" bestFit="1" customWidth="1"/>
    <col min="20" max="20" width="10.8515625" style="6" bestFit="1" customWidth="1"/>
    <col min="21" max="21" width="11.421875" style="105" bestFit="1" customWidth="1"/>
    <col min="22" max="22" width="9.57421875" style="105" bestFit="1" customWidth="1"/>
    <col min="23" max="16384" width="16.57421875" style="6" customWidth="1"/>
  </cols>
  <sheetData>
    <row r="1" spans="2:22" ht="14.25">
      <c r="B1" s="245" t="s">
        <v>147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3" ht="12.75">
      <c r="B2" s="246" t="s">
        <v>18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7"/>
    </row>
    <row r="3" spans="2:23" ht="15.75">
      <c r="B3" s="247" t="s">
        <v>116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2" t="s">
        <v>60</v>
      </c>
      <c r="B7" s="242" t="s">
        <v>137</v>
      </c>
      <c r="C7" s="8"/>
      <c r="D7" s="229" t="s">
        <v>26</v>
      </c>
      <c r="E7" s="230"/>
      <c r="F7" s="231"/>
      <c r="G7" s="229" t="s">
        <v>148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1"/>
    </row>
    <row r="8" spans="1:22" ht="16.5" customHeight="1">
      <c r="A8" s="243"/>
      <c r="B8" s="243"/>
      <c r="C8" s="17"/>
      <c r="D8" s="248" t="s">
        <v>59</v>
      </c>
      <c r="E8" s="249"/>
      <c r="F8" s="250"/>
      <c r="G8" s="223" t="s">
        <v>19</v>
      </c>
      <c r="H8" s="224"/>
      <c r="I8" s="225"/>
      <c r="J8" s="223" t="s">
        <v>118</v>
      </c>
      <c r="K8" s="224"/>
      <c r="L8" s="225"/>
      <c r="M8" s="223" t="s">
        <v>20</v>
      </c>
      <c r="N8" s="224"/>
      <c r="O8" s="225"/>
      <c r="P8" s="223" t="s">
        <v>104</v>
      </c>
      <c r="Q8" s="224"/>
      <c r="R8" s="225"/>
      <c r="S8" s="223" t="s">
        <v>4</v>
      </c>
      <c r="T8" s="224"/>
      <c r="U8" s="224"/>
      <c r="V8" s="225"/>
    </row>
    <row r="9" spans="1:22" ht="17.25" customHeight="1" thickBot="1">
      <c r="A9" s="244"/>
      <c r="B9" s="244"/>
      <c r="C9" s="16"/>
      <c r="D9" s="139">
        <v>2018</v>
      </c>
      <c r="E9" s="140">
        <v>2019</v>
      </c>
      <c r="F9" s="141" t="s">
        <v>13</v>
      </c>
      <c r="G9" s="158">
        <v>2018</v>
      </c>
      <c r="H9" s="140">
        <v>2019</v>
      </c>
      <c r="I9" s="141" t="s">
        <v>13</v>
      </c>
      <c r="J9" s="158">
        <v>2018</v>
      </c>
      <c r="K9" s="140">
        <v>2019</v>
      </c>
      <c r="L9" s="141" t="s">
        <v>13</v>
      </c>
      <c r="M9" s="158">
        <v>2018</v>
      </c>
      <c r="N9" s="140">
        <v>2019</v>
      </c>
      <c r="O9" s="141" t="s">
        <v>13</v>
      </c>
      <c r="P9" s="158">
        <v>2018</v>
      </c>
      <c r="Q9" s="140">
        <v>2019</v>
      </c>
      <c r="R9" s="141" t="s">
        <v>13</v>
      </c>
      <c r="S9" s="158">
        <v>2018</v>
      </c>
      <c r="T9" s="140">
        <v>2019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61430</v>
      </c>
      <c r="E12" s="51">
        <v>0</v>
      </c>
      <c r="F12" s="150">
        <f>+E12-D12</f>
        <v>-61430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73014079</v>
      </c>
      <c r="E14" s="51">
        <v>70450517</v>
      </c>
      <c r="F14" s="150">
        <f aca="true" t="shared" si="0" ref="F14:F24">+E14-D14</f>
        <v>-2563562</v>
      </c>
      <c r="G14" s="50">
        <v>12287588</v>
      </c>
      <c r="H14" s="51">
        <v>11167391</v>
      </c>
      <c r="I14" s="150">
        <f>+H14-G14</f>
        <v>-1120197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12287588</v>
      </c>
      <c r="T14" s="51">
        <f t="shared" si="1"/>
        <v>11167391</v>
      </c>
      <c r="U14" s="150">
        <f aca="true" t="shared" si="2" ref="U14:U24">+T14-S14</f>
        <v>-1120197</v>
      </c>
      <c r="V14" s="118">
        <f>IF(S14=0," ",U14/S14)</f>
        <v>-0.09116492187075283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57607203</v>
      </c>
      <c r="E15" s="51">
        <v>77355685</v>
      </c>
      <c r="F15" s="150">
        <f t="shared" si="0"/>
        <v>19748482</v>
      </c>
      <c r="G15" s="50">
        <v>17082396</v>
      </c>
      <c r="H15" s="51">
        <v>17608890</v>
      </c>
      <c r="I15" s="150">
        <f>+H15-G15</f>
        <v>526494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17082396</v>
      </c>
      <c r="T15" s="51">
        <f t="shared" si="1"/>
        <v>17608890</v>
      </c>
      <c r="U15" s="150">
        <f t="shared" si="2"/>
        <v>526494</v>
      </c>
      <c r="V15" s="118">
        <f>IF(S15=0," ",U15/S15)</f>
        <v>0.030820852063141495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117870568</v>
      </c>
      <c r="E16" s="51">
        <v>120336128</v>
      </c>
      <c r="F16" s="150">
        <f t="shared" si="0"/>
        <v>2465560</v>
      </c>
      <c r="G16" s="50">
        <v>31972410</v>
      </c>
      <c r="H16" s="51">
        <v>31280488</v>
      </c>
      <c r="I16" s="150">
        <f>+H16-G16</f>
        <v>-691922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31972410</v>
      </c>
      <c r="T16" s="51">
        <f t="shared" si="1"/>
        <v>31280488</v>
      </c>
      <c r="U16" s="150">
        <f t="shared" si="2"/>
        <v>-691922</v>
      </c>
      <c r="V16" s="118">
        <f>IF(S16=0," ",U16/S16)</f>
        <v>-0.021641221290481388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582595602</v>
      </c>
      <c r="E18" s="51">
        <v>480217303</v>
      </c>
      <c r="F18" s="150">
        <f>+E18-D18</f>
        <v>-102378299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6706037</v>
      </c>
      <c r="N18" s="51">
        <v>44407259</v>
      </c>
      <c r="O18" s="150">
        <f>+N18-M18</f>
        <v>37701222</v>
      </c>
      <c r="P18" s="50">
        <v>4979550</v>
      </c>
      <c r="Q18" s="51">
        <v>3244694</v>
      </c>
      <c r="R18" s="150">
        <f>+Q18-P18</f>
        <v>-1734856</v>
      </c>
      <c r="S18" s="50">
        <f>+G18+J18+M18+P18</f>
        <v>11685587</v>
      </c>
      <c r="T18" s="51">
        <f>+H18+K18+N18+Q18</f>
        <v>47651953</v>
      </c>
      <c r="U18" s="150">
        <f>+T18-S18</f>
        <v>35966366</v>
      </c>
      <c r="V18" s="118">
        <f>IF(S18=0," ",U18/S18)</f>
        <v>3.0778399065447033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0</v>
      </c>
      <c r="E19" s="51">
        <v>164970</v>
      </c>
      <c r="F19" s="150">
        <f>+E19-D19</f>
        <v>164970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122500</v>
      </c>
      <c r="N19" s="51">
        <v>31980</v>
      </c>
      <c r="O19" s="150">
        <f>+N19-M19</f>
        <v>-90520</v>
      </c>
      <c r="P19" s="50">
        <v>0</v>
      </c>
      <c r="Q19" s="51">
        <v>0</v>
      </c>
      <c r="R19" s="150">
        <f>+Q19-P19</f>
        <v>0</v>
      </c>
      <c r="S19" s="50">
        <f>+G19+J19+M19+P19</f>
        <v>122500</v>
      </c>
      <c r="T19" s="51">
        <f>+H19+K19+N19+Q19</f>
        <v>31980</v>
      </c>
      <c r="U19" s="150">
        <f>+T19-S19</f>
        <v>-90520</v>
      </c>
      <c r="V19" s="118">
        <f>IF(S19=0," ",U19/S19)</f>
        <v>-0.738938775510204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120268</v>
      </c>
      <c r="E21" s="52">
        <v>263709</v>
      </c>
      <c r="F21" s="150">
        <f t="shared" si="0"/>
        <v>143441</v>
      </c>
      <c r="G21" s="50">
        <v>538148</v>
      </c>
      <c r="H21" s="51">
        <v>431024</v>
      </c>
      <c r="I21" s="150">
        <f>+H21-G21</f>
        <v>-107124</v>
      </c>
      <c r="J21" s="50">
        <v>0</v>
      </c>
      <c r="K21" s="52">
        <v>0</v>
      </c>
      <c r="L21" s="150">
        <f>+K21-J21</f>
        <v>0</v>
      </c>
      <c r="M21" s="50">
        <v>1458</v>
      </c>
      <c r="N21" s="52">
        <v>0</v>
      </c>
      <c r="O21" s="150">
        <f>+N21-M21</f>
        <v>-1458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539606</v>
      </c>
      <c r="T21" s="52">
        <f t="shared" si="3"/>
        <v>431024</v>
      </c>
      <c r="U21" s="150">
        <f t="shared" si="2"/>
        <v>-108582</v>
      </c>
      <c r="V21" s="118">
        <f>IF(S21=0," ",U21/S21)</f>
        <v>-0.20122459720610963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10208217</v>
      </c>
      <c r="E22" s="51">
        <v>11712873</v>
      </c>
      <c r="F22" s="150">
        <f t="shared" si="0"/>
        <v>1504656</v>
      </c>
      <c r="G22" s="50">
        <v>6972974</v>
      </c>
      <c r="H22" s="51">
        <v>10504310</v>
      </c>
      <c r="I22" s="150">
        <f>+H22-G22</f>
        <v>3531336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6972974</v>
      </c>
      <c r="T22" s="51">
        <f t="shared" si="3"/>
        <v>10504310</v>
      </c>
      <c r="U22" s="150">
        <f t="shared" si="2"/>
        <v>3531336</v>
      </c>
      <c r="V22" s="118">
        <f>IF(S22=0," ",U22/S22)</f>
        <v>0.5064318323860092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0</v>
      </c>
      <c r="E23" s="51">
        <v>0</v>
      </c>
      <c r="F23" s="150">
        <f>+E23-D23</f>
        <v>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14030</v>
      </c>
      <c r="N23" s="51">
        <v>5580</v>
      </c>
      <c r="O23" s="150">
        <f>+N23-M23</f>
        <v>-8450</v>
      </c>
      <c r="P23" s="50">
        <v>0</v>
      </c>
      <c r="Q23" s="51">
        <v>0</v>
      </c>
      <c r="R23" s="150">
        <f>+Q23-P23</f>
        <v>0</v>
      </c>
      <c r="S23" s="50">
        <f t="shared" si="3"/>
        <v>14030</v>
      </c>
      <c r="T23" s="51">
        <f t="shared" si="3"/>
        <v>5580</v>
      </c>
      <c r="U23" s="150">
        <f>+T23-S23</f>
        <v>-8450</v>
      </c>
      <c r="V23" s="118">
        <f>IF(S23=0," ",U23/S23)</f>
        <v>-0.6022808267997148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884800</v>
      </c>
      <c r="E24" s="51">
        <v>1114475</v>
      </c>
      <c r="F24" s="150">
        <f t="shared" si="0"/>
        <v>229675</v>
      </c>
      <c r="G24" s="50">
        <v>1516727</v>
      </c>
      <c r="H24" s="51">
        <v>68141</v>
      </c>
      <c r="I24" s="150">
        <f>+H24-G24</f>
        <v>-1448586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0</v>
      </c>
      <c r="O24" s="150">
        <f>+N24-M24</f>
        <v>0</v>
      </c>
      <c r="P24" s="50">
        <v>0</v>
      </c>
      <c r="Q24" s="51">
        <v>0</v>
      </c>
      <c r="R24" s="150">
        <f>+Q24-P24</f>
        <v>0</v>
      </c>
      <c r="S24" s="50">
        <f t="shared" si="3"/>
        <v>1516727</v>
      </c>
      <c r="T24" s="51">
        <f t="shared" si="3"/>
        <v>68141</v>
      </c>
      <c r="U24" s="150">
        <f t="shared" si="2"/>
        <v>-1448586</v>
      </c>
      <c r="V24" s="118">
        <f>IF(S24=0," ",U24/S24)</f>
        <v>-0.9550736553117337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0</v>
      </c>
      <c r="E26" s="51">
        <v>25987781</v>
      </c>
      <c r="F26" s="150">
        <f>+E26-D26</f>
        <v>25987781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0</v>
      </c>
      <c r="L26" s="150">
        <f>+K26-J26</f>
        <v>0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0</v>
      </c>
      <c r="U26" s="150">
        <f>+T26-S26</f>
        <v>0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88220620</v>
      </c>
      <c r="E27" s="51">
        <v>32645812</v>
      </c>
      <c r="F27" s="150">
        <f>+E27-D27</f>
        <v>-55574808</v>
      </c>
      <c r="G27" s="50">
        <v>0</v>
      </c>
      <c r="H27" s="51">
        <v>0</v>
      </c>
      <c r="I27" s="195">
        <f>+H27-G27</f>
        <v>0</v>
      </c>
      <c r="J27" s="50">
        <v>3456376</v>
      </c>
      <c r="K27" s="51">
        <v>2290985</v>
      </c>
      <c r="L27" s="195">
        <f>+K27-J27</f>
        <v>-1165391</v>
      </c>
      <c r="M27" s="50">
        <v>0</v>
      </c>
      <c r="N27" s="51">
        <v>0</v>
      </c>
      <c r="O27" s="195">
        <f>+N27-M27</f>
        <v>0</v>
      </c>
      <c r="P27" s="50">
        <v>0</v>
      </c>
      <c r="Q27" s="51">
        <v>0</v>
      </c>
      <c r="R27" s="195">
        <f>+Q27-P27</f>
        <v>0</v>
      </c>
      <c r="S27" s="50">
        <f>+G27+J27+M27+P27</f>
        <v>3456376</v>
      </c>
      <c r="T27" s="51">
        <f>+H27+K27+N27+Q27</f>
        <v>2290985</v>
      </c>
      <c r="U27" s="150">
        <f>+T27-S27</f>
        <v>-1165391</v>
      </c>
      <c r="V27" s="118">
        <f>IF(S27=0," ",U27/S27)</f>
        <v>-0.337171360986189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115647553</v>
      </c>
      <c r="E29" s="51">
        <v>207357197</v>
      </c>
      <c r="F29" s="150">
        <f>+E29-D29</f>
        <v>91709644</v>
      </c>
      <c r="G29" s="50">
        <v>0</v>
      </c>
      <c r="H29" s="51">
        <v>0</v>
      </c>
      <c r="I29" s="150">
        <f>+H29-G29</f>
        <v>0</v>
      </c>
      <c r="J29" s="50">
        <v>0</v>
      </c>
      <c r="K29" s="51">
        <v>0</v>
      </c>
      <c r="L29" s="150">
        <f>+K29-J29</f>
        <v>0</v>
      </c>
      <c r="M29" s="50">
        <v>263250</v>
      </c>
      <c r="N29" s="51">
        <v>6226</v>
      </c>
      <c r="O29" s="150">
        <f>+N29-M29</f>
        <v>-257024</v>
      </c>
      <c r="P29" s="50">
        <v>0</v>
      </c>
      <c r="Q29" s="51">
        <v>0</v>
      </c>
      <c r="R29" s="150">
        <f>+Q29-P29</f>
        <v>0</v>
      </c>
      <c r="S29" s="50">
        <f>+G29+J29+M29+P29</f>
        <v>263250</v>
      </c>
      <c r="T29" s="51">
        <f>+H29+K29+N29+Q29</f>
        <v>6226</v>
      </c>
      <c r="U29" s="150">
        <f>+T29-S29</f>
        <v>-257024</v>
      </c>
      <c r="V29" s="118">
        <f>IF(S29=0," ",U29/S29)</f>
        <v>-0.976349477682811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40" t="s">
        <v>4</v>
      </c>
      <c r="B31" s="241"/>
      <c r="C31" s="17"/>
      <c r="D31" s="152">
        <f>SUM(D12:D29)</f>
        <v>1046230340</v>
      </c>
      <c r="E31" s="153">
        <f aca="true" t="shared" si="4" ref="E31:U31">SUM(E12:E29)</f>
        <v>1027606450</v>
      </c>
      <c r="F31" s="154">
        <f t="shared" si="4"/>
        <v>-18623890</v>
      </c>
      <c r="G31" s="152">
        <f t="shared" si="4"/>
        <v>70370243</v>
      </c>
      <c r="H31" s="155">
        <f>SUM(H12:H29)</f>
        <v>71060244</v>
      </c>
      <c r="I31" s="154">
        <f t="shared" si="4"/>
        <v>690001</v>
      </c>
      <c r="J31" s="152">
        <f t="shared" si="4"/>
        <v>3456376</v>
      </c>
      <c r="K31" s="155">
        <f t="shared" si="4"/>
        <v>2290985</v>
      </c>
      <c r="L31" s="154">
        <f t="shared" si="4"/>
        <v>-1165391</v>
      </c>
      <c r="M31" s="152">
        <f t="shared" si="4"/>
        <v>7107275</v>
      </c>
      <c r="N31" s="155">
        <f t="shared" si="4"/>
        <v>44451045</v>
      </c>
      <c r="O31" s="154">
        <f t="shared" si="4"/>
        <v>37343770</v>
      </c>
      <c r="P31" s="152">
        <f t="shared" si="4"/>
        <v>4979550</v>
      </c>
      <c r="Q31" s="155">
        <f t="shared" si="4"/>
        <v>3244694</v>
      </c>
      <c r="R31" s="154">
        <f t="shared" si="4"/>
        <v>-1734856</v>
      </c>
      <c r="S31" s="152">
        <f t="shared" si="4"/>
        <v>85913444</v>
      </c>
      <c r="T31" s="155">
        <f t="shared" si="4"/>
        <v>121046968</v>
      </c>
      <c r="U31" s="154">
        <f t="shared" si="4"/>
        <v>35133524</v>
      </c>
      <c r="V31" s="156">
        <f>IF(S31=0," ",U31/S31)</f>
        <v>0.40894093362151795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142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60"/>
      <c r="N34" s="160"/>
      <c r="O34" s="47"/>
      <c r="P34" s="111"/>
      <c r="R34" s="47"/>
      <c r="S34" s="160"/>
      <c r="T34" s="160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J8:L8"/>
    <mergeCell ref="P8:R8"/>
    <mergeCell ref="D7:F7"/>
    <mergeCell ref="G7:V7"/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2021-05-19T16:36:21Z</dcterms:modified>
  <cp:category/>
  <cp:version/>
  <cp:contentType/>
  <cp:contentStatus/>
</cp:coreProperties>
</file>