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21_2022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'Ing_2021_2022'!$A$1:$V$40</definedName>
  </definedNames>
  <calcPr fullCalcOnLoad="1"/>
</workbook>
</file>

<file path=xl/sharedStrings.xml><?xml version="1.0" encoding="utf-8"?>
<sst xmlns="http://schemas.openxmlformats.org/spreadsheetml/2006/main" count="191" uniqueCount="151">
  <si>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</si>
  <si>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</si>
  <si>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</si>
  <si>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</si>
  <si>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</si>
  <si>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</si>
  <si>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</si>
  <si>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</si>
  <si>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</si>
  <si>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</si>
  <si>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</si>
  <si>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</si>
  <si>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</si>
  <si>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</si>
  <si>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</si>
  <si>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</si>
  <si>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</si>
  <si>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</si>
  <si>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</si>
  <si>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</si>
  <si>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</si>
  <si>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</si>
  <si>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</si>
  <si>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</si>
  <si>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</si>
  <si>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</si>
  <si>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</si>
  <si>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</si>
  <si>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</si>
  <si>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</si>
  <si>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</si>
  <si>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</si>
  <si>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</si>
  <si>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</si>
  <si>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</si>
  <si>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</si>
  <si>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</si>
  <si>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</si>
  <si>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</si>
  <si>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</si>
  <si>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</si>
  <si>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</si>
  <si>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</si>
  <si>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</si>
  <si>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</si>
  <si>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</si>
  <si>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</si>
  <si>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</si>
  <si>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</si>
  <si>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</si>
  <si>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</si>
  <si>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</si>
  <si>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</si>
  <si>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</si>
  <si>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</si>
  <si>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</si>
  <si>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</si>
  <si>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</si>
  <si>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</si>
  <si>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</si>
  <si>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</si>
  <si>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</si>
  <si>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</si>
  <si>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</si>
  <si>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</si>
  <si>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</si>
  <si>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</si>
  <si>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</si>
  <si>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</si>
  <si>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</si>
  <si>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</si>
  <si>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</si>
  <si>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</si>
  <si>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</si>
  <si>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</si>
  <si>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</si>
  <si>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</si>
  <si>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</si>
  <si>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</si>
  <si>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</si>
  <si>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</si>
  <si>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</si>
  <si>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</si>
  <si>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</si>
  <si>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</si>
  <si>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</si>
  <si>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</si>
  <si>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</si>
  <si>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</si>
  <si>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</si>
  <si>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</si>
  <si>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</si>
  <si>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</si>
  <si>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</si>
  <si>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</si>
  <si>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</si>
  <si>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</si>
  <si>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</si>
  <si>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</si>
  <si>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</si>
  <si>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</si>
  <si>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</si>
  <si>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</si>
  <si>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</si>
  <si>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</si>
  <si>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</si>
  <si>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</si>
  <si>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</si>
  <si>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</si>
  <si>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</si>
  <si>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</si>
  <si>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</si>
  <si>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</si>
  <si>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</si>
  <si>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</si>
  <si>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</si>
  <si>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</si>
  <si>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</si>
  <si>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</si>
  <si>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</si>
  <si>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</si>
  <si>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</si>
  <si>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</si>
  <si>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</si>
  <si>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</si>
  <si>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</si>
  <si>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</si>
  <si>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</si>
  <si>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</si>
  <si>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</si>
  <si>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</si>
  <si>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</si>
  <si>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</si>
  <si>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</si>
  <si>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</si>
  <si>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</si>
  <si>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</si>
  <si>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5 RECURSOS DETERMINADOS</t>
  </si>
  <si>
    <t>AÑO FISCAL 2021</t>
  </si>
  <si>
    <t>EJECUCION
II TRIMESTRE
 /*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</si>
  <si>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 Trimestre se encuentra a Nivel de Devengados</t>
    </r>
  </si>
  <si>
    <t>EJECUCION AL
II TRIMESTRE (*)</t>
  </si>
  <si>
    <t>EJECUCION II TRIMESTRE (*)</t>
  </si>
  <si>
    <t>EJECUCION II TRIMESTRE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</si>
  <si>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II Trimestre se encuentra a Nivel de Devengados.</t>
    </r>
  </si>
  <si>
    <t>PRESUPUESTO DE EGRESOS COMPARATIVO II TRIMESTRE AÑO FISCAL 2021 - 2022</t>
  </si>
  <si>
    <t>AÑO FISCAL 2022</t>
  </si>
  <si>
    <t>Fuente : Consulta Amigable: Base de Datos MEF, al 30 de Junio del 2022</t>
  </si>
  <si>
    <t>RESULTADOS OPERATIVOS COMPARATIVOS II TRIMESTRE AÑOS FISCALES 2021 - 2022</t>
  </si>
  <si>
    <t>INGRESOS COMPARATIVOS II TRIMESTRE AÑO FISCAL 2021 - 2022</t>
  </si>
  <si>
    <t>Fuente : Consulta Amigable: Base de Datos MEF, al 30 de Junio del 2022.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</si>
</sst>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216" fontId="6" fillId="0" borderId="0" xfId="50" applyNumberFormat="1" applyFont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C6" sqref="C6:D9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5" t="s">
        <v>145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12.75">
      <c r="C2" s="196" t="s">
        <v>9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3:15" ht="12.75">
      <c r="C3" s="196" t="s">
        <v>115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7" t="s">
        <v>6</v>
      </c>
      <c r="D6" s="201"/>
      <c r="E6" s="14"/>
      <c r="F6" s="199" t="s">
        <v>138</v>
      </c>
      <c r="G6" s="202"/>
      <c r="H6" s="200"/>
      <c r="I6" s="72"/>
      <c r="J6" s="199" t="s">
        <v>146</v>
      </c>
      <c r="K6" s="202"/>
      <c r="L6" s="200"/>
      <c r="M6" s="72"/>
      <c r="N6" s="199" t="s">
        <v>10</v>
      </c>
      <c r="O6" s="200"/>
    </row>
    <row r="7" spans="3:15" ht="12.75" customHeight="1">
      <c r="C7" s="201"/>
      <c r="D7" s="201"/>
      <c r="E7" s="14"/>
      <c r="F7" s="197" t="s">
        <v>8</v>
      </c>
      <c r="G7" s="197" t="s">
        <v>139</v>
      </c>
      <c r="H7" s="197" t="s">
        <v>114</v>
      </c>
      <c r="I7" s="69"/>
      <c r="J7" s="197" t="s">
        <v>8</v>
      </c>
      <c r="K7" s="197" t="s">
        <v>139</v>
      </c>
      <c r="L7" s="197" t="s">
        <v>114</v>
      </c>
      <c r="M7" s="69"/>
      <c r="N7" s="197" t="s">
        <v>8</v>
      </c>
      <c r="O7" s="197" t="s">
        <v>139</v>
      </c>
    </row>
    <row r="8" spans="3:15" ht="12.75">
      <c r="C8" s="201"/>
      <c r="D8" s="201"/>
      <c r="E8" s="14"/>
      <c r="F8" s="198"/>
      <c r="G8" s="198"/>
      <c r="H8" s="198"/>
      <c r="I8" s="69"/>
      <c r="J8" s="198"/>
      <c r="K8" s="198"/>
      <c r="L8" s="198"/>
      <c r="M8" s="69"/>
      <c r="N8" s="198"/>
      <c r="O8" s="198"/>
    </row>
    <row r="9" spans="3:15" ht="12.75">
      <c r="C9" s="201"/>
      <c r="D9" s="201"/>
      <c r="E9" s="14"/>
      <c r="F9" s="198"/>
      <c r="G9" s="198"/>
      <c r="H9" s="198"/>
      <c r="I9" s="69"/>
      <c r="J9" s="198"/>
      <c r="K9" s="198"/>
      <c r="L9" s="198"/>
      <c r="M9" s="69"/>
      <c r="N9" s="198"/>
      <c r="O9" s="198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3" t="s">
        <v>7</v>
      </c>
      <c r="D11" s="194"/>
      <c r="E11" s="16"/>
      <c r="F11" s="159">
        <f>SUM(F12:F16)</f>
        <v>14771551150</v>
      </c>
      <c r="G11" s="159">
        <f>SUM(G12:G16)</f>
        <v>4818280713.030018</v>
      </c>
      <c r="H11" s="127">
        <f aca="true" t="shared" si="0" ref="H11:H16">IF(F11=0," ",G11/F11)</f>
        <v>0.32618650973767355</v>
      </c>
      <c r="I11" s="69"/>
      <c r="J11" s="159">
        <f>SUM(J12:J16)</f>
        <v>11864268698</v>
      </c>
      <c r="K11" s="159">
        <f>SUM(K12:K16)</f>
        <v>5404826286.020025</v>
      </c>
      <c r="L11" s="127">
        <f aca="true" t="shared" si="1" ref="L11:L16">IF(J11=0," ",K11/J11)</f>
        <v>0.4555549459977365</v>
      </c>
      <c r="M11" s="69"/>
      <c r="N11" s="159">
        <f aca="true" t="shared" si="2" ref="N11:O16">+J11-F11</f>
        <v>-2907282452</v>
      </c>
      <c r="O11" s="159">
        <f t="shared" si="2"/>
        <v>586545572.9900074</v>
      </c>
    </row>
    <row r="12" spans="3:18" ht="12.75">
      <c r="C12" s="76" t="s">
        <v>32</v>
      </c>
      <c r="D12" s="120" t="s">
        <v>1</v>
      </c>
      <c r="E12" s="71"/>
      <c r="F12" s="158">
        <v>7410607430</v>
      </c>
      <c r="G12" s="158">
        <v>2923748420.2700195</v>
      </c>
      <c r="H12" s="96">
        <f t="shared" si="0"/>
        <v>0.39453559615557987</v>
      </c>
      <c r="I12" s="69"/>
      <c r="J12" s="158">
        <v>8680053753</v>
      </c>
      <c r="K12" s="158">
        <v>3588207234.230026</v>
      </c>
      <c r="L12" s="96">
        <f t="shared" si="1"/>
        <v>0.4133853702219148</v>
      </c>
      <c r="M12" s="69"/>
      <c r="N12" s="158">
        <f t="shared" si="2"/>
        <v>1269446323</v>
      </c>
      <c r="O12" s="158">
        <f t="shared" si="2"/>
        <v>664458813.9600062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58">
        <v>254515355</v>
      </c>
      <c r="G13" s="158">
        <v>50119770.279999994</v>
      </c>
      <c r="H13" s="96">
        <f t="shared" si="0"/>
        <v>0.19692238324874345</v>
      </c>
      <c r="I13" s="69"/>
      <c r="J13" s="158">
        <v>261440241</v>
      </c>
      <c r="K13" s="158">
        <v>51875104.69999998</v>
      </c>
      <c r="L13" s="96">
        <f t="shared" si="1"/>
        <v>0.19842050520447607</v>
      </c>
      <c r="M13" s="69"/>
      <c r="N13" s="158">
        <f t="shared" si="2"/>
        <v>6924886</v>
      </c>
      <c r="O13" s="158">
        <f t="shared" si="2"/>
        <v>1755334.419999987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58">
        <v>6372668895</v>
      </c>
      <c r="G14" s="158">
        <v>1656415543.5599983</v>
      </c>
      <c r="H14" s="96">
        <f t="shared" si="0"/>
        <v>0.2599249342547238</v>
      </c>
      <c r="I14" s="69"/>
      <c r="J14" s="158">
        <v>2369651956</v>
      </c>
      <c r="K14" s="158">
        <v>1599067930.17</v>
      </c>
      <c r="L14" s="96">
        <f t="shared" si="1"/>
        <v>0.6748113055679473</v>
      </c>
      <c r="M14" s="69"/>
      <c r="N14" s="158">
        <f t="shared" si="2"/>
        <v>-4003016939</v>
      </c>
      <c r="O14" s="158">
        <f t="shared" si="2"/>
        <v>-57347613.3899982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58">
        <v>728351568</v>
      </c>
      <c r="G15" s="158">
        <v>187901098.92</v>
      </c>
      <c r="H15" s="96">
        <f t="shared" si="0"/>
        <v>0.2579813199770581</v>
      </c>
      <c r="I15" s="69"/>
      <c r="J15" s="158">
        <v>550858081</v>
      </c>
      <c r="K15" s="158">
        <v>165676016.9200001</v>
      </c>
      <c r="L15" s="96">
        <f t="shared" si="1"/>
        <v>0.30075989194755975</v>
      </c>
      <c r="M15" s="69"/>
      <c r="N15" s="158">
        <f t="shared" si="2"/>
        <v>-177493487</v>
      </c>
      <c r="O15" s="158">
        <f t="shared" si="2"/>
        <v>-22225081.99999988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58">
        <v>5407902</v>
      </c>
      <c r="G16" s="158">
        <v>95880</v>
      </c>
      <c r="H16" s="96">
        <f t="shared" si="0"/>
        <v>0.017729611224463756</v>
      </c>
      <c r="I16" s="69"/>
      <c r="J16" s="158">
        <v>2264667</v>
      </c>
      <c r="K16" s="158">
        <v>0</v>
      </c>
      <c r="L16" s="96">
        <f t="shared" si="1"/>
        <v>0</v>
      </c>
      <c r="M16" s="69"/>
      <c r="N16" s="158">
        <f t="shared" si="2"/>
        <v>-3143235</v>
      </c>
      <c r="O16" s="158">
        <f t="shared" si="2"/>
        <v>-95880</v>
      </c>
      <c r="Q16" s="77"/>
      <c r="R16" s="77"/>
    </row>
    <row r="17" spans="3:15" ht="5.25" customHeight="1">
      <c r="C17" s="73"/>
      <c r="D17" s="74"/>
      <c r="E17" s="71"/>
      <c r="F17" s="158"/>
      <c r="G17" s="158"/>
      <c r="H17" s="97"/>
      <c r="I17" s="69"/>
      <c r="J17" s="158"/>
      <c r="K17" s="158"/>
      <c r="L17" s="97"/>
      <c r="M17" s="69"/>
      <c r="N17" s="158"/>
      <c r="O17" s="158"/>
    </row>
    <row r="18" spans="3:15" ht="12.75">
      <c r="C18" s="193" t="s">
        <v>5</v>
      </c>
      <c r="D18" s="194"/>
      <c r="E18" s="16"/>
      <c r="F18" s="159">
        <f>+F19+F25</f>
        <v>14771551150</v>
      </c>
      <c r="G18" s="159">
        <f>+G19+G25</f>
        <v>4818280713.030008</v>
      </c>
      <c r="H18" s="127">
        <f>IF(F18=0," ",G18/F18)</f>
        <v>0.3261865097376729</v>
      </c>
      <c r="I18" s="69"/>
      <c r="J18" s="159">
        <f>+J19+J25</f>
        <v>11864268698</v>
      </c>
      <c r="K18" s="159">
        <f>+K19+K25</f>
        <v>5404826286.020018</v>
      </c>
      <c r="L18" s="127">
        <f aca="true" t="shared" si="3" ref="L18:L30">IF(J18=0," ",K18/J18)</f>
        <v>0.4555549459977358</v>
      </c>
      <c r="M18" s="69"/>
      <c r="N18" s="159">
        <f aca="true" t="shared" si="4" ref="N18:N30">+J18-F18</f>
        <v>-2907282452</v>
      </c>
      <c r="O18" s="159">
        <f aca="true" t="shared" si="5" ref="O18:O30">+K18-G18</f>
        <v>586545572.9900093</v>
      </c>
    </row>
    <row r="19" spans="3:15" ht="12.75">
      <c r="C19" s="76"/>
      <c r="D19" s="128" t="s">
        <v>108</v>
      </c>
      <c r="E19" s="16"/>
      <c r="F19" s="159">
        <f>+SUM(F20:F24)</f>
        <v>13703219588</v>
      </c>
      <c r="G19" s="159">
        <f>+SUM(G20:G24)</f>
        <v>4571373578.600008</v>
      </c>
      <c r="H19" s="127">
        <f aca="true" t="shared" si="6" ref="H19:H30">IF(F19=0," ",G19/F19)</f>
        <v>0.3335985057557707</v>
      </c>
      <c r="I19" s="69"/>
      <c r="J19" s="159">
        <f>+SUM(J20:J24)</f>
        <v>10376373622</v>
      </c>
      <c r="K19" s="159">
        <f>+SUM(K20:K24)</f>
        <v>5079798378.810018</v>
      </c>
      <c r="L19" s="127">
        <f t="shared" si="3"/>
        <v>0.48955430518035925</v>
      </c>
      <c r="M19" s="69"/>
      <c r="N19" s="159">
        <f t="shared" si="4"/>
        <v>-3326845966</v>
      </c>
      <c r="O19" s="159">
        <f t="shared" si="5"/>
        <v>508424800.2100096</v>
      </c>
    </row>
    <row r="20" spans="3:21" ht="12.75">
      <c r="C20" s="76"/>
      <c r="D20" s="121" t="s">
        <v>109</v>
      </c>
      <c r="E20" s="71"/>
      <c r="F20" s="158">
        <v>2861216231</v>
      </c>
      <c r="G20" s="158">
        <v>1310337144.1300013</v>
      </c>
      <c r="H20" s="96">
        <f t="shared" si="6"/>
        <v>0.4579650883890157</v>
      </c>
      <c r="I20" s="69"/>
      <c r="J20" s="158">
        <v>2982981450</v>
      </c>
      <c r="K20" s="158">
        <v>1287955829.1900105</v>
      </c>
      <c r="L20" s="96">
        <f t="shared" si="3"/>
        <v>0.43176796462814426</v>
      </c>
      <c r="M20" s="69"/>
      <c r="N20" s="158">
        <f t="shared" si="4"/>
        <v>121765219</v>
      </c>
      <c r="O20" s="158">
        <f t="shared" si="5"/>
        <v>-22381314.93999076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58">
        <v>169971713</v>
      </c>
      <c r="G21" s="158">
        <v>82191595.91</v>
      </c>
      <c r="H21" s="96">
        <f t="shared" si="6"/>
        <v>0.4835604375535122</v>
      </c>
      <c r="I21" s="69"/>
      <c r="J21" s="158">
        <v>150836902</v>
      </c>
      <c r="K21" s="158">
        <v>75153142.99</v>
      </c>
      <c r="L21" s="96">
        <f t="shared" si="3"/>
        <v>0.4982410934825484</v>
      </c>
      <c r="M21" s="69"/>
      <c r="N21" s="158">
        <f t="shared" si="4"/>
        <v>-19134811</v>
      </c>
      <c r="O21" s="158">
        <f t="shared" si="5"/>
        <v>-7038452.920000002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58">
        <v>9517663614</v>
      </c>
      <c r="G22" s="158">
        <v>2968852929.870007</v>
      </c>
      <c r="H22" s="96">
        <f t="shared" si="6"/>
        <v>0.31193085301974477</v>
      </c>
      <c r="I22" s="69"/>
      <c r="J22" s="158">
        <v>6106068995</v>
      </c>
      <c r="K22" s="158">
        <v>3428448611.430007</v>
      </c>
      <c r="L22" s="96">
        <f t="shared" si="3"/>
        <v>0.5614821277383891</v>
      </c>
      <c r="M22" s="69"/>
      <c r="N22" s="158">
        <f t="shared" si="4"/>
        <v>-3411594619</v>
      </c>
      <c r="O22" s="158">
        <f t="shared" si="5"/>
        <v>459595681.55999994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58">
        <v>776853003</v>
      </c>
      <c r="G23" s="158">
        <v>99286628.03999995</v>
      </c>
      <c r="H23" s="96">
        <f t="shared" si="6"/>
        <v>0.12780619712684557</v>
      </c>
      <c r="I23" s="69"/>
      <c r="J23" s="158">
        <v>654439976</v>
      </c>
      <c r="K23" s="158">
        <v>49132096.09000001</v>
      </c>
      <c r="L23" s="96">
        <f t="shared" si="3"/>
        <v>0.07507502275502805</v>
      </c>
      <c r="M23" s="69"/>
      <c r="N23" s="158">
        <f t="shared" si="4"/>
        <v>-122413027</v>
      </c>
      <c r="O23" s="158">
        <f t="shared" si="5"/>
        <v>-50154531.949999936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58">
        <v>377515027</v>
      </c>
      <c r="G24" s="158">
        <v>110705280.64999999</v>
      </c>
      <c r="H24" s="96">
        <f t="shared" si="6"/>
        <v>0.2932473484029021</v>
      </c>
      <c r="I24" s="69"/>
      <c r="J24" s="158">
        <v>482046299</v>
      </c>
      <c r="K24" s="158">
        <v>239108699.10999995</v>
      </c>
      <c r="L24" s="96">
        <f t="shared" si="3"/>
        <v>0.49602849271123634</v>
      </c>
      <c r="M24" s="69"/>
      <c r="N24" s="158">
        <f t="shared" si="4"/>
        <v>104531272</v>
      </c>
      <c r="O24" s="158">
        <f t="shared" si="5"/>
        <v>128403418.45999996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59">
        <f>+F26+F27+F28</f>
        <v>1068331562</v>
      </c>
      <c r="G25" s="159">
        <f>+G26+G27+G28</f>
        <v>246907134.4300001</v>
      </c>
      <c r="H25" s="127">
        <f t="shared" si="6"/>
        <v>0.2311147055954901</v>
      </c>
      <c r="I25" s="69"/>
      <c r="J25" s="159">
        <f>+J26+J27+J28</f>
        <v>1487895076</v>
      </c>
      <c r="K25" s="159">
        <f>+K26+K27+K28</f>
        <v>325027907.2099999</v>
      </c>
      <c r="L25" s="127">
        <f t="shared" si="3"/>
        <v>0.21844813686983391</v>
      </c>
      <c r="M25" s="69"/>
      <c r="N25" s="159">
        <f t="shared" si="4"/>
        <v>419563514</v>
      </c>
      <c r="O25" s="159">
        <f t="shared" si="5"/>
        <v>78120772.77999982</v>
      </c>
    </row>
    <row r="26" spans="3:21" ht="12.75">
      <c r="C26" s="78"/>
      <c r="D26" s="123" t="s">
        <v>107</v>
      </c>
      <c r="E26" s="71"/>
      <c r="F26" s="158">
        <v>5480304</v>
      </c>
      <c r="G26" s="158">
        <v>0</v>
      </c>
      <c r="H26" s="96">
        <f t="shared" si="6"/>
        <v>0</v>
      </c>
      <c r="I26" s="69"/>
      <c r="J26" s="158">
        <v>2546619</v>
      </c>
      <c r="K26" s="158">
        <v>2546619</v>
      </c>
      <c r="L26" s="96">
        <f t="shared" si="3"/>
        <v>1</v>
      </c>
      <c r="M26" s="69"/>
      <c r="N26" s="158">
        <f t="shared" si="4"/>
        <v>-2933685</v>
      </c>
      <c r="O26" s="158">
        <f t="shared" si="5"/>
        <v>2546619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58">
        <v>0</v>
      </c>
      <c r="G27" s="158">
        <v>0</v>
      </c>
      <c r="H27" s="96" t="str">
        <f t="shared" si="6"/>
        <v> </v>
      </c>
      <c r="I27" s="69"/>
      <c r="J27" s="158">
        <v>0</v>
      </c>
      <c r="K27" s="158">
        <v>0</v>
      </c>
      <c r="L27" s="96" t="str">
        <f t="shared" si="3"/>
        <v> </v>
      </c>
      <c r="M27" s="69"/>
      <c r="N27" s="158">
        <f t="shared" si="4"/>
        <v>0</v>
      </c>
      <c r="O27" s="158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0">
        <f>SUM(F29:F30)</f>
        <v>1062851258</v>
      </c>
      <c r="G28" s="160">
        <f>SUM(G29:G30)</f>
        <v>246907134.4300001</v>
      </c>
      <c r="H28" s="127">
        <f t="shared" si="6"/>
        <v>0.23230638583861007</v>
      </c>
      <c r="I28" s="81"/>
      <c r="J28" s="160">
        <f>+J29+J30</f>
        <v>1485348457</v>
      </c>
      <c r="K28" s="160">
        <f>+K29+K30</f>
        <v>322481288.2099999</v>
      </c>
      <c r="L28" s="130">
        <f t="shared" si="3"/>
        <v>0.21710817195133084</v>
      </c>
      <c r="M28" s="81"/>
      <c r="N28" s="159">
        <f t="shared" si="4"/>
        <v>422497199</v>
      </c>
      <c r="O28" s="159">
        <f t="shared" si="5"/>
        <v>75574153.77999982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58">
        <v>945648416</v>
      </c>
      <c r="G29" s="158">
        <v>233666059.5600001</v>
      </c>
      <c r="H29" s="96">
        <f t="shared" si="6"/>
        <v>0.2470961253743591</v>
      </c>
      <c r="I29" s="69"/>
      <c r="J29" s="162">
        <v>1420832626</v>
      </c>
      <c r="K29" s="158">
        <v>307576107.75999993</v>
      </c>
      <c r="L29" s="96">
        <f t="shared" si="3"/>
        <v>0.21647596073712339</v>
      </c>
      <c r="M29" s="69"/>
      <c r="N29" s="158">
        <f t="shared" si="4"/>
        <v>475184210</v>
      </c>
      <c r="O29" s="158">
        <f t="shared" si="5"/>
        <v>73910048.19999984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1">
        <v>117202842</v>
      </c>
      <c r="G30" s="161">
        <v>13241074.870000001</v>
      </c>
      <c r="H30" s="98">
        <f t="shared" si="6"/>
        <v>0.11297571495749226</v>
      </c>
      <c r="I30" s="69"/>
      <c r="J30" s="161">
        <v>64515831</v>
      </c>
      <c r="K30" s="161">
        <v>14905180.45000001</v>
      </c>
      <c r="L30" s="98">
        <f t="shared" si="3"/>
        <v>0.2310313642243872</v>
      </c>
      <c r="M30" s="69"/>
      <c r="N30" s="161">
        <f t="shared" si="4"/>
        <v>-52687011</v>
      </c>
      <c r="O30" s="161">
        <f t="shared" si="5"/>
        <v>1664105.5800000094</v>
      </c>
      <c r="Q30" s="77"/>
      <c r="R30" s="77"/>
      <c r="U30" s="77"/>
    </row>
    <row r="31" spans="2:15" ht="12.75">
      <c r="B31" s="63"/>
      <c r="C31" s="65" t="s">
        <v>147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140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">
      <selection activeCell="B7" sqref="B7:C8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5" width="14.421875" style="42" bestFit="1" customWidth="1"/>
    <col min="6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3" width="14.421875" style="42" bestFit="1" customWidth="1"/>
    <col min="14" max="14" width="13.7109375" style="42" customWidth="1"/>
    <col min="15" max="16384" width="11.421875" style="42" customWidth="1"/>
  </cols>
  <sheetData>
    <row r="1" spans="2:15" ht="14.25">
      <c r="B1" s="207" t="s">
        <v>148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87"/>
    </row>
    <row r="2" spans="2:15" ht="12.75">
      <c r="B2" s="196" t="s">
        <v>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84"/>
    </row>
    <row r="3" spans="2:15" ht="12.75">
      <c r="B3" s="196" t="s">
        <v>115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6" t="s">
        <v>22</v>
      </c>
      <c r="C5" s="206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6" t="s">
        <v>63</v>
      </c>
      <c r="C7" s="217"/>
      <c r="D7" s="41"/>
      <c r="E7" s="205" t="s">
        <v>138</v>
      </c>
      <c r="F7" s="205"/>
      <c r="G7" s="205"/>
      <c r="I7" s="205" t="s">
        <v>146</v>
      </c>
      <c r="J7" s="205"/>
      <c r="K7" s="205"/>
      <c r="M7" s="205" t="s">
        <v>10</v>
      </c>
      <c r="N7" s="205"/>
    </row>
    <row r="8" spans="2:14" s="43" customFormat="1" ht="38.25">
      <c r="B8" s="218"/>
      <c r="C8" s="219"/>
      <c r="D8" s="41"/>
      <c r="E8" s="125" t="s">
        <v>64</v>
      </c>
      <c r="F8" s="126" t="s">
        <v>141</v>
      </c>
      <c r="G8" s="125" t="s">
        <v>0</v>
      </c>
      <c r="I8" s="125" t="s">
        <v>64</v>
      </c>
      <c r="J8" s="126" t="s">
        <v>141</v>
      </c>
      <c r="K8" s="125" t="s">
        <v>0</v>
      </c>
      <c r="M8" s="126" t="s">
        <v>65</v>
      </c>
      <c r="N8" s="126" t="s">
        <v>141</v>
      </c>
    </row>
    <row r="9" spans="2:14" s="43" customFormat="1" ht="12.75">
      <c r="B9" s="208" t="s">
        <v>66</v>
      </c>
      <c r="C9" s="208"/>
      <c r="D9" s="88"/>
      <c r="E9" s="163">
        <f>SUM(E10:E12)</f>
        <v>2861216231</v>
      </c>
      <c r="F9" s="163">
        <f>SUM(F10:F12)</f>
        <v>1310337144.1299992</v>
      </c>
      <c r="G9" s="131">
        <f aca="true" t="shared" si="0" ref="G9:G39">IF(E9=0," ",F9/E9)</f>
        <v>0.45796508838901495</v>
      </c>
      <c r="I9" s="163">
        <f>SUM(I10:I12)</f>
        <v>2982981450</v>
      </c>
      <c r="J9" s="163">
        <f>SUM(J10:J12)</f>
        <v>1287955829.1900072</v>
      </c>
      <c r="K9" s="131">
        <f aca="true" t="shared" si="1" ref="K9:K40">IF(I9=0," ",J9/I9)</f>
        <v>0.43176796462814315</v>
      </c>
      <c r="M9" s="163">
        <f aca="true" t="shared" si="2" ref="M9:M36">+E9-I9</f>
        <v>-121765219</v>
      </c>
      <c r="N9" s="163">
        <f aca="true" t="shared" si="3" ref="N9:N35">+F9-J9</f>
        <v>22381314.93999195</v>
      </c>
    </row>
    <row r="10" spans="2:14" ht="12.75">
      <c r="B10" s="204" t="s">
        <v>67</v>
      </c>
      <c r="C10" s="204"/>
      <c r="D10" s="89"/>
      <c r="E10" s="164">
        <v>2708323583</v>
      </c>
      <c r="F10" s="164">
        <v>1240675335.1299992</v>
      </c>
      <c r="G10" s="90">
        <f t="shared" si="0"/>
        <v>0.4580971575618404</v>
      </c>
      <c r="I10" s="164">
        <v>2811520295</v>
      </c>
      <c r="J10" s="164">
        <v>1211189862.160007</v>
      </c>
      <c r="K10" s="90">
        <f t="shared" si="1"/>
        <v>0.430795347383401</v>
      </c>
      <c r="M10" s="164">
        <f t="shared" si="2"/>
        <v>-103196712</v>
      </c>
      <c r="N10" s="164">
        <f t="shared" si="3"/>
        <v>29485472.96999216</v>
      </c>
    </row>
    <row r="11" spans="2:14" ht="12.75">
      <c r="B11" s="213" t="s">
        <v>68</v>
      </c>
      <c r="C11" s="213"/>
      <c r="D11" s="89"/>
      <c r="E11" s="165">
        <v>9794443</v>
      </c>
      <c r="F11" s="165">
        <v>4714862.75</v>
      </c>
      <c r="G11" s="91">
        <f t="shared" si="0"/>
        <v>0.4813814067834179</v>
      </c>
      <c r="I11" s="165">
        <v>20115131</v>
      </c>
      <c r="J11" s="165">
        <v>4372370.1899999995</v>
      </c>
      <c r="K11" s="91">
        <f t="shared" si="1"/>
        <v>0.2173672242054998</v>
      </c>
      <c r="M11" s="165">
        <f t="shared" si="2"/>
        <v>-10320688</v>
      </c>
      <c r="N11" s="165">
        <f t="shared" si="3"/>
        <v>342492.5600000005</v>
      </c>
    </row>
    <row r="12" spans="2:14" ht="12.75">
      <c r="B12" s="203" t="s">
        <v>69</v>
      </c>
      <c r="C12" s="203"/>
      <c r="D12" s="89"/>
      <c r="E12" s="165">
        <v>143098205</v>
      </c>
      <c r="F12" s="165">
        <v>64946946.24999994</v>
      </c>
      <c r="G12" s="92">
        <f t="shared" si="0"/>
        <v>0.4538627598438425</v>
      </c>
      <c r="I12" s="167">
        <v>151346024</v>
      </c>
      <c r="J12" s="167">
        <v>72393596.84000026</v>
      </c>
      <c r="K12" s="92">
        <f t="shared" si="1"/>
        <v>0.478331672855841</v>
      </c>
      <c r="M12" s="167">
        <f t="shared" si="2"/>
        <v>-8247819</v>
      </c>
      <c r="N12" s="167">
        <f t="shared" si="3"/>
        <v>-7446650.5900003165</v>
      </c>
    </row>
    <row r="13" spans="2:14" ht="12.75">
      <c r="B13" s="208" t="s">
        <v>70</v>
      </c>
      <c r="C13" s="208"/>
      <c r="D13" s="88"/>
      <c r="E13" s="166">
        <f>SUM(E14:E15)</f>
        <v>169971713</v>
      </c>
      <c r="F13" s="166">
        <f>SUM(F14:F15)</f>
        <v>82191595.91</v>
      </c>
      <c r="G13" s="131">
        <f t="shared" si="0"/>
        <v>0.4835604375535122</v>
      </c>
      <c r="I13" s="166">
        <f>SUM(I14:I15)</f>
        <v>150836902</v>
      </c>
      <c r="J13" s="166">
        <f>SUM(J14:J15)</f>
        <v>75153142.98999998</v>
      </c>
      <c r="K13" s="131">
        <f t="shared" si="1"/>
        <v>0.4982410934825483</v>
      </c>
      <c r="M13" s="166">
        <f t="shared" si="2"/>
        <v>19134811</v>
      </c>
      <c r="N13" s="166">
        <f t="shared" si="3"/>
        <v>7038452.920000017</v>
      </c>
    </row>
    <row r="14" spans="2:14" ht="12.75">
      <c r="B14" s="204" t="s">
        <v>71</v>
      </c>
      <c r="C14" s="204"/>
      <c r="D14" s="89"/>
      <c r="E14" s="164">
        <v>160098842</v>
      </c>
      <c r="F14" s="164">
        <v>77886041.85</v>
      </c>
      <c r="G14" s="90">
        <f t="shared" si="0"/>
        <v>0.4864872279963149</v>
      </c>
      <c r="I14" s="164">
        <v>146961200</v>
      </c>
      <c r="J14" s="164">
        <v>74941411.82999998</v>
      </c>
      <c r="K14" s="90">
        <f t="shared" si="1"/>
        <v>0.5099401190926584</v>
      </c>
      <c r="M14" s="164">
        <f t="shared" si="2"/>
        <v>13137642</v>
      </c>
      <c r="N14" s="164">
        <f t="shared" si="3"/>
        <v>2944630.0200000107</v>
      </c>
    </row>
    <row r="15" spans="2:14" ht="12.75">
      <c r="B15" s="203" t="s">
        <v>72</v>
      </c>
      <c r="C15" s="203"/>
      <c r="D15" s="89"/>
      <c r="E15" s="167">
        <v>9872871</v>
      </c>
      <c r="F15" s="167">
        <v>4305554.06</v>
      </c>
      <c r="G15" s="92">
        <f t="shared" si="0"/>
        <v>0.436099495273462</v>
      </c>
      <c r="I15" s="167">
        <v>3875702</v>
      </c>
      <c r="J15" s="167">
        <v>211731.16</v>
      </c>
      <c r="K15" s="92">
        <f t="shared" si="1"/>
        <v>0.05463040244064172</v>
      </c>
      <c r="M15" s="167">
        <f t="shared" si="2"/>
        <v>5997169</v>
      </c>
      <c r="N15" s="167">
        <f t="shared" si="3"/>
        <v>4093822.8999999994</v>
      </c>
    </row>
    <row r="16" spans="2:14" ht="12.75">
      <c r="B16" s="208" t="s">
        <v>73</v>
      </c>
      <c r="C16" s="208"/>
      <c r="D16" s="88"/>
      <c r="E16" s="166">
        <f>SUM(E17:E18)</f>
        <v>9517663614</v>
      </c>
      <c r="F16" s="166">
        <f>SUM(F17:F18)</f>
        <v>2968852929.869996</v>
      </c>
      <c r="G16" s="131">
        <f t="shared" si="0"/>
        <v>0.31193085301974366</v>
      </c>
      <c r="I16" s="166">
        <f>SUM(I17:I18)</f>
        <v>6106068995</v>
      </c>
      <c r="J16" s="166">
        <f>SUM(J17:J18)</f>
        <v>3428448611.4299946</v>
      </c>
      <c r="K16" s="131">
        <f t="shared" si="1"/>
        <v>0.561482127738387</v>
      </c>
      <c r="M16" s="166">
        <f t="shared" si="2"/>
        <v>3411594619</v>
      </c>
      <c r="N16" s="166">
        <f t="shared" si="3"/>
        <v>-459595681.5599985</v>
      </c>
    </row>
    <row r="17" spans="2:14" ht="12.75">
      <c r="B17" s="204" t="s">
        <v>74</v>
      </c>
      <c r="C17" s="204"/>
      <c r="D17" s="89"/>
      <c r="E17" s="164">
        <v>6056878217</v>
      </c>
      <c r="F17" s="164">
        <v>1678828258.789998</v>
      </c>
      <c r="G17" s="90">
        <f t="shared" si="0"/>
        <v>0.27717715275799776</v>
      </c>
      <c r="I17" s="164">
        <v>3555674452</v>
      </c>
      <c r="J17" s="164">
        <v>2069343887.5399961</v>
      </c>
      <c r="K17" s="90">
        <f t="shared" si="1"/>
        <v>0.5819835070603916</v>
      </c>
      <c r="M17" s="164">
        <f t="shared" si="2"/>
        <v>2501203765</v>
      </c>
      <c r="N17" s="164">
        <f t="shared" si="3"/>
        <v>-390515628.7499981</v>
      </c>
    </row>
    <row r="18" spans="2:14" ht="12.75">
      <c r="B18" s="203" t="s">
        <v>75</v>
      </c>
      <c r="C18" s="203"/>
      <c r="D18" s="89"/>
      <c r="E18" s="167">
        <v>3460785397</v>
      </c>
      <c r="F18" s="167">
        <v>1290024671.0799983</v>
      </c>
      <c r="G18" s="92">
        <f t="shared" si="0"/>
        <v>0.3727548874305419</v>
      </c>
      <c r="I18" s="167">
        <v>2550394543</v>
      </c>
      <c r="J18" s="167">
        <v>1359104723.8899984</v>
      </c>
      <c r="K18" s="92">
        <f t="shared" si="1"/>
        <v>0.532899792943918</v>
      </c>
      <c r="M18" s="167">
        <f t="shared" si="2"/>
        <v>910390854</v>
      </c>
      <c r="N18" s="167">
        <f t="shared" si="3"/>
        <v>-69080052.81000018</v>
      </c>
    </row>
    <row r="19" spans="2:14" ht="12.75">
      <c r="B19" s="208" t="s">
        <v>76</v>
      </c>
      <c r="C19" s="208"/>
      <c r="D19" s="88"/>
      <c r="E19" s="166">
        <f>SUM(E20:E21)</f>
        <v>782333307</v>
      </c>
      <c r="F19" s="166">
        <f>SUM(F20:F21)</f>
        <v>99286628.03999995</v>
      </c>
      <c r="G19" s="131">
        <f t="shared" si="0"/>
        <v>0.12691090504727795</v>
      </c>
      <c r="I19" s="166">
        <f>SUM(I20:I21)</f>
        <v>654439976</v>
      </c>
      <c r="J19" s="166">
        <f>SUM(J20:J21)</f>
        <v>49132096.09000001</v>
      </c>
      <c r="K19" s="131">
        <f t="shared" si="1"/>
        <v>0.07507502275502805</v>
      </c>
      <c r="M19" s="166">
        <f t="shared" si="2"/>
        <v>127893331</v>
      </c>
      <c r="N19" s="166">
        <f>+F19-J19</f>
        <v>50154531.949999936</v>
      </c>
    </row>
    <row r="20" spans="2:14" ht="12.75">
      <c r="B20" s="209" t="s">
        <v>77</v>
      </c>
      <c r="C20" s="209"/>
      <c r="D20" s="89"/>
      <c r="E20" s="168">
        <v>776853003</v>
      </c>
      <c r="F20" s="168">
        <v>99286628.03999995</v>
      </c>
      <c r="G20" s="93">
        <f t="shared" si="0"/>
        <v>0.12780619712684557</v>
      </c>
      <c r="I20" s="168">
        <v>654439976</v>
      </c>
      <c r="J20" s="168">
        <v>49132096.09000001</v>
      </c>
      <c r="K20" s="93">
        <f t="shared" si="1"/>
        <v>0.07507502275502805</v>
      </c>
      <c r="M20" s="168">
        <f t="shared" si="2"/>
        <v>122413027</v>
      </c>
      <c r="N20" s="168">
        <f t="shared" si="3"/>
        <v>50154531.949999936</v>
      </c>
    </row>
    <row r="21" spans="2:14" ht="12.75">
      <c r="B21" s="212" t="s">
        <v>105</v>
      </c>
      <c r="C21" s="212"/>
      <c r="D21" s="89"/>
      <c r="E21" s="169">
        <v>5480304</v>
      </c>
      <c r="F21" s="169">
        <v>0</v>
      </c>
      <c r="G21" s="94">
        <f>IF(E21=0," ",F21/E21)</f>
        <v>0</v>
      </c>
      <c r="I21" s="169">
        <v>0</v>
      </c>
      <c r="J21" s="169">
        <v>0</v>
      </c>
      <c r="K21" s="94" t="str">
        <f>IF(I21=0," ",J21/I21)</f>
        <v> </v>
      </c>
      <c r="M21" s="169">
        <f>+E21-I21</f>
        <v>5480304</v>
      </c>
      <c r="N21" s="169">
        <f>+F21-J21</f>
        <v>0</v>
      </c>
    </row>
    <row r="22" spans="2:14" ht="12.75">
      <c r="B22" s="208" t="s">
        <v>78</v>
      </c>
      <c r="C22" s="208"/>
      <c r="D22" s="88"/>
      <c r="E22" s="166">
        <f>SUM(E23:E27)</f>
        <v>377515027</v>
      </c>
      <c r="F22" s="166">
        <f>SUM(F23:F27)</f>
        <v>110705280.64999999</v>
      </c>
      <c r="G22" s="131">
        <f t="shared" si="0"/>
        <v>0.2932473484029021</v>
      </c>
      <c r="I22" s="166">
        <f>SUM(I23:I27)</f>
        <v>482046299</v>
      </c>
      <c r="J22" s="166">
        <f>SUM(J23:J27)</f>
        <v>239108699.10999998</v>
      </c>
      <c r="K22" s="131">
        <f t="shared" si="1"/>
        <v>0.4960284927112364</v>
      </c>
      <c r="M22" s="166">
        <f t="shared" si="2"/>
        <v>-104531272</v>
      </c>
      <c r="N22" s="166">
        <f t="shared" si="3"/>
        <v>-128403418.46</v>
      </c>
    </row>
    <row r="23" spans="2:14" ht="12.75">
      <c r="B23" s="204" t="s">
        <v>79</v>
      </c>
      <c r="C23" s="204"/>
      <c r="D23" s="89"/>
      <c r="E23" s="164">
        <v>0</v>
      </c>
      <c r="F23" s="164">
        <v>0</v>
      </c>
      <c r="G23" s="90" t="str">
        <f t="shared" si="0"/>
        <v> </v>
      </c>
      <c r="I23" s="164">
        <v>0</v>
      </c>
      <c r="J23" s="164">
        <v>0</v>
      </c>
      <c r="K23" s="90" t="str">
        <f t="shared" si="1"/>
        <v> </v>
      </c>
      <c r="M23" s="164">
        <f t="shared" si="2"/>
        <v>0</v>
      </c>
      <c r="N23" s="164">
        <f t="shared" si="3"/>
        <v>0</v>
      </c>
    </row>
    <row r="24" spans="2:14" ht="12.75">
      <c r="B24" s="204" t="s">
        <v>80</v>
      </c>
      <c r="C24" s="204"/>
      <c r="D24" s="89"/>
      <c r="E24" s="164">
        <v>15009259</v>
      </c>
      <c r="F24" s="164">
        <v>7423551.13</v>
      </c>
      <c r="G24" s="90">
        <f t="shared" si="0"/>
        <v>0.49459810974012774</v>
      </c>
      <c r="I24" s="164">
        <v>14445642</v>
      </c>
      <c r="J24" s="164">
        <v>7142810.12</v>
      </c>
      <c r="K24" s="90">
        <f t="shared" si="1"/>
        <v>0.4944612444362113</v>
      </c>
      <c r="M24" s="164">
        <f t="shared" si="2"/>
        <v>563617</v>
      </c>
      <c r="N24" s="164">
        <f t="shared" si="3"/>
        <v>280741.0099999998</v>
      </c>
    </row>
    <row r="25" spans="2:14" ht="12.75">
      <c r="B25" s="213" t="s">
        <v>81</v>
      </c>
      <c r="C25" s="213"/>
      <c r="D25" s="89"/>
      <c r="E25" s="165">
        <v>35762</v>
      </c>
      <c r="F25" s="165">
        <v>0</v>
      </c>
      <c r="G25" s="91">
        <f t="shared" si="0"/>
        <v>0</v>
      </c>
      <c r="I25" s="165">
        <v>81989</v>
      </c>
      <c r="J25" s="165">
        <v>55291</v>
      </c>
      <c r="K25" s="91">
        <f t="shared" si="1"/>
        <v>0.674370952200905</v>
      </c>
      <c r="M25" s="165">
        <f t="shared" si="2"/>
        <v>-46227</v>
      </c>
      <c r="N25" s="165">
        <f t="shared" si="3"/>
        <v>-55291</v>
      </c>
    </row>
    <row r="26" spans="2:14" ht="12.75">
      <c r="B26" s="213" t="s">
        <v>82</v>
      </c>
      <c r="C26" s="213"/>
      <c r="D26" s="89"/>
      <c r="E26" s="165">
        <v>360894554</v>
      </c>
      <c r="F26" s="165">
        <v>103209238.83</v>
      </c>
      <c r="G26" s="91">
        <f t="shared" si="0"/>
        <v>0.2859817020957318</v>
      </c>
      <c r="I26" s="165">
        <v>466677319</v>
      </c>
      <c r="J26" s="165">
        <v>231685853.04</v>
      </c>
      <c r="K26" s="91">
        <f t="shared" si="1"/>
        <v>0.4964583527145873</v>
      </c>
      <c r="M26" s="165">
        <f t="shared" si="2"/>
        <v>-105782765</v>
      </c>
      <c r="N26" s="165">
        <f t="shared" si="3"/>
        <v>-128476614.21</v>
      </c>
    </row>
    <row r="27" spans="2:14" ht="12.75">
      <c r="B27" s="203" t="s">
        <v>83</v>
      </c>
      <c r="C27" s="203"/>
      <c r="D27" s="89"/>
      <c r="E27" s="167">
        <v>1575452</v>
      </c>
      <c r="F27" s="167">
        <v>72490.69</v>
      </c>
      <c r="G27" s="92">
        <f t="shared" si="0"/>
        <v>0.046012630026176615</v>
      </c>
      <c r="I27" s="167">
        <v>841349</v>
      </c>
      <c r="J27" s="167">
        <v>224744.95000000004</v>
      </c>
      <c r="K27" s="92">
        <f t="shared" si="1"/>
        <v>0.2671245226416149</v>
      </c>
      <c r="M27" s="167">
        <f t="shared" si="2"/>
        <v>734103</v>
      </c>
      <c r="N27" s="167">
        <f t="shared" si="3"/>
        <v>-152254.26000000004</v>
      </c>
    </row>
    <row r="28" spans="2:14" ht="12.75">
      <c r="B28" s="208" t="s">
        <v>84</v>
      </c>
      <c r="C28" s="208"/>
      <c r="D28" s="88"/>
      <c r="E28" s="166">
        <f>SUM(E29)</f>
        <v>0</v>
      </c>
      <c r="F28" s="166">
        <f>SUM(F29)</f>
        <v>0</v>
      </c>
      <c r="G28" s="131" t="str">
        <f t="shared" si="0"/>
        <v> </v>
      </c>
      <c r="I28" s="166">
        <f>SUM(I29)</f>
        <v>2546619</v>
      </c>
      <c r="J28" s="166">
        <f>SUM(J29)</f>
        <v>2546619</v>
      </c>
      <c r="K28" s="131">
        <f t="shared" si="1"/>
        <v>1</v>
      </c>
      <c r="M28" s="166">
        <f t="shared" si="2"/>
        <v>-2546619</v>
      </c>
      <c r="N28" s="166">
        <f t="shared" si="3"/>
        <v>-2546619</v>
      </c>
    </row>
    <row r="29" spans="2:14" ht="12.75">
      <c r="B29" s="211" t="s">
        <v>85</v>
      </c>
      <c r="C29" s="211"/>
      <c r="D29" s="89"/>
      <c r="E29" s="170">
        <v>0</v>
      </c>
      <c r="F29" s="170">
        <v>0</v>
      </c>
      <c r="G29" s="95" t="str">
        <f t="shared" si="0"/>
        <v> </v>
      </c>
      <c r="I29" s="170">
        <v>2546619</v>
      </c>
      <c r="J29" s="170">
        <v>2546619</v>
      </c>
      <c r="K29" s="95">
        <f t="shared" si="1"/>
        <v>1</v>
      </c>
      <c r="M29" s="170">
        <f t="shared" si="2"/>
        <v>-2546619</v>
      </c>
      <c r="N29" s="170">
        <f t="shared" si="3"/>
        <v>-2546619</v>
      </c>
    </row>
    <row r="30" spans="2:14" ht="12.75">
      <c r="B30" s="208" t="s">
        <v>86</v>
      </c>
      <c r="C30" s="208"/>
      <c r="D30" s="88"/>
      <c r="E30" s="166">
        <f>SUM(E31)</f>
        <v>0</v>
      </c>
      <c r="F30" s="166">
        <f>SUM(F31)</f>
        <v>0</v>
      </c>
      <c r="G30" s="131" t="str">
        <f t="shared" si="0"/>
        <v> </v>
      </c>
      <c r="I30" s="166">
        <f>SUM(I31)</f>
        <v>0</v>
      </c>
      <c r="J30" s="166">
        <f>SUM(J31)</f>
        <v>0</v>
      </c>
      <c r="K30" s="131" t="str">
        <f t="shared" si="1"/>
        <v> </v>
      </c>
      <c r="M30" s="166">
        <f t="shared" si="2"/>
        <v>0</v>
      </c>
      <c r="N30" s="166">
        <f t="shared" si="3"/>
        <v>0</v>
      </c>
    </row>
    <row r="31" spans="2:14" ht="12.75">
      <c r="B31" s="211" t="s">
        <v>87</v>
      </c>
      <c r="C31" s="211"/>
      <c r="D31" s="89"/>
      <c r="E31" s="170">
        <v>0</v>
      </c>
      <c r="F31" s="170">
        <v>0</v>
      </c>
      <c r="G31" s="95" t="str">
        <f t="shared" si="0"/>
        <v> </v>
      </c>
      <c r="I31" s="170">
        <v>0</v>
      </c>
      <c r="J31" s="170">
        <v>0</v>
      </c>
      <c r="K31" s="95" t="str">
        <f t="shared" si="1"/>
        <v> </v>
      </c>
      <c r="M31" s="170">
        <f t="shared" si="2"/>
        <v>0</v>
      </c>
      <c r="N31" s="170">
        <f t="shared" si="3"/>
        <v>0</v>
      </c>
    </row>
    <row r="32" spans="2:14" ht="12.75">
      <c r="B32" s="208" t="s">
        <v>88</v>
      </c>
      <c r="C32" s="208"/>
      <c r="D32" s="88"/>
      <c r="E32" s="166">
        <f>SUM(E33:E39)</f>
        <v>1062851258</v>
      </c>
      <c r="F32" s="166">
        <f>SUM(F33:F39)</f>
        <v>246907134.42999992</v>
      </c>
      <c r="G32" s="131">
        <f t="shared" si="0"/>
        <v>0.2323063858386099</v>
      </c>
      <c r="I32" s="166">
        <f>SUM(I33:I39)</f>
        <v>1485348457</v>
      </c>
      <c r="J32" s="166">
        <f>SUM(J33:J39)</f>
        <v>322481288.2100003</v>
      </c>
      <c r="K32" s="131">
        <f t="shared" si="1"/>
        <v>0.21710817195133106</v>
      </c>
      <c r="M32" s="166">
        <f t="shared" si="2"/>
        <v>-422497199</v>
      </c>
      <c r="N32" s="166">
        <f t="shared" si="3"/>
        <v>-75574153.78000036</v>
      </c>
    </row>
    <row r="33" spans="2:14" ht="12.75">
      <c r="B33" s="204" t="s">
        <v>89</v>
      </c>
      <c r="C33" s="204"/>
      <c r="D33" s="89"/>
      <c r="E33" s="164">
        <v>0</v>
      </c>
      <c r="F33" s="164">
        <v>0</v>
      </c>
      <c r="G33" s="90" t="str">
        <f t="shared" si="0"/>
        <v> </v>
      </c>
      <c r="I33" s="164">
        <v>0</v>
      </c>
      <c r="J33" s="164">
        <v>0</v>
      </c>
      <c r="K33" s="90" t="str">
        <f t="shared" si="1"/>
        <v> </v>
      </c>
      <c r="M33" s="164">
        <f t="shared" si="2"/>
        <v>0</v>
      </c>
      <c r="N33" s="164">
        <f t="shared" si="3"/>
        <v>0</v>
      </c>
    </row>
    <row r="34" spans="2:14" ht="12.75">
      <c r="B34" s="204" t="s">
        <v>90</v>
      </c>
      <c r="C34" s="204"/>
      <c r="D34" s="89"/>
      <c r="E34" s="164">
        <v>347957776</v>
      </c>
      <c r="F34" s="164">
        <v>49934395.639999986</v>
      </c>
      <c r="G34" s="90">
        <f t="shared" si="0"/>
        <v>0.14350705483299786</v>
      </c>
      <c r="I34" s="164">
        <v>548457349</v>
      </c>
      <c r="J34" s="164">
        <v>95892250.22</v>
      </c>
      <c r="K34" s="90">
        <f t="shared" si="1"/>
        <v>0.1748399404162237</v>
      </c>
      <c r="M34" s="164">
        <f t="shared" si="2"/>
        <v>-200499573</v>
      </c>
      <c r="N34" s="164">
        <f t="shared" si="3"/>
        <v>-45957854.58000001</v>
      </c>
    </row>
    <row r="35" spans="2:14" ht="12.75">
      <c r="B35" s="214" t="s">
        <v>91</v>
      </c>
      <c r="C35" s="215"/>
      <c r="D35" s="89"/>
      <c r="E35" s="165">
        <v>493706905</v>
      </c>
      <c r="F35" s="165">
        <v>178800497.58999994</v>
      </c>
      <c r="G35" s="91">
        <f t="shared" si="0"/>
        <v>0.3621591996773874</v>
      </c>
      <c r="I35" s="165">
        <v>601825370</v>
      </c>
      <c r="J35" s="165">
        <v>192677192.82000035</v>
      </c>
      <c r="K35" s="91">
        <f t="shared" si="1"/>
        <v>0.3201546535334666</v>
      </c>
      <c r="M35" s="165">
        <f t="shared" si="2"/>
        <v>-108118465</v>
      </c>
      <c r="N35" s="165">
        <f t="shared" si="3"/>
        <v>-13876695.230000407</v>
      </c>
    </row>
    <row r="36" spans="2:14" ht="12.75">
      <c r="B36" s="112" t="s">
        <v>92</v>
      </c>
      <c r="C36" s="113"/>
      <c r="D36" s="89"/>
      <c r="E36" s="165">
        <v>0</v>
      </c>
      <c r="F36" s="165">
        <v>0</v>
      </c>
      <c r="G36" s="91" t="str">
        <f t="shared" si="0"/>
        <v> </v>
      </c>
      <c r="I36" s="165">
        <v>0</v>
      </c>
      <c r="J36" s="165">
        <v>0</v>
      </c>
      <c r="K36" s="91" t="str">
        <f t="shared" si="1"/>
        <v> </v>
      </c>
      <c r="M36" s="165">
        <f t="shared" si="2"/>
        <v>0</v>
      </c>
      <c r="N36" s="165">
        <f aca="true" t="shared" si="4" ref="N36:N41">+F36-J36</f>
        <v>0</v>
      </c>
    </row>
    <row r="37" spans="2:14" ht="12.75">
      <c r="B37" s="213" t="s">
        <v>93</v>
      </c>
      <c r="C37" s="213"/>
      <c r="D37" s="89"/>
      <c r="E37" s="165">
        <v>3146813</v>
      </c>
      <c r="F37" s="165">
        <v>118286.34000000001</v>
      </c>
      <c r="G37" s="91">
        <f t="shared" si="0"/>
        <v>0.03758924982196273</v>
      </c>
      <c r="I37" s="165">
        <v>7125488</v>
      </c>
      <c r="J37" s="165">
        <v>327320.27</v>
      </c>
      <c r="K37" s="91">
        <f t="shared" si="1"/>
        <v>0.045936540767453404</v>
      </c>
      <c r="M37" s="165">
        <f>+E37-I37</f>
        <v>-3978675</v>
      </c>
      <c r="N37" s="165">
        <f t="shared" si="4"/>
        <v>-209033.93</v>
      </c>
    </row>
    <row r="38" spans="2:14" ht="12.75">
      <c r="B38" s="213" t="s">
        <v>94</v>
      </c>
      <c r="C38" s="213"/>
      <c r="D38" s="89"/>
      <c r="E38" s="165">
        <v>8255286</v>
      </c>
      <c r="F38" s="165">
        <v>2047687.3199999998</v>
      </c>
      <c r="G38" s="91">
        <f t="shared" si="0"/>
        <v>0.24804559405936993</v>
      </c>
      <c r="I38" s="165">
        <v>188197433</v>
      </c>
      <c r="J38" s="165">
        <v>4405696.069999999</v>
      </c>
      <c r="K38" s="91">
        <f t="shared" si="1"/>
        <v>0.023409968987196543</v>
      </c>
      <c r="M38" s="165">
        <f>+E38-I38</f>
        <v>-179942147</v>
      </c>
      <c r="N38" s="165">
        <f t="shared" si="4"/>
        <v>-2358008.7499999995</v>
      </c>
    </row>
    <row r="39" spans="2:14" ht="12.75">
      <c r="B39" s="212" t="s">
        <v>95</v>
      </c>
      <c r="C39" s="212"/>
      <c r="D39" s="89"/>
      <c r="E39" s="169">
        <v>209784478</v>
      </c>
      <c r="F39" s="169">
        <v>16006267.539999995</v>
      </c>
      <c r="G39" s="94">
        <f t="shared" si="0"/>
        <v>0.07629862653613484</v>
      </c>
      <c r="I39" s="169">
        <v>139742817</v>
      </c>
      <c r="J39" s="169">
        <v>29178828.830000002</v>
      </c>
      <c r="K39" s="94">
        <f t="shared" si="1"/>
        <v>0.20880378295222146</v>
      </c>
      <c r="M39" s="169">
        <f>+E39-I39</f>
        <v>70041661</v>
      </c>
      <c r="N39" s="169">
        <f t="shared" si="4"/>
        <v>-13172561.290000007</v>
      </c>
    </row>
    <row r="40" spans="5:14" ht="3.75" customHeight="1">
      <c r="E40" s="171"/>
      <c r="F40" s="171"/>
      <c r="G40" s="86"/>
      <c r="I40" s="171">
        <v>0</v>
      </c>
      <c r="J40" s="171" t="s">
        <v>134</v>
      </c>
      <c r="K40" s="86" t="str">
        <f t="shared" si="1"/>
        <v> </v>
      </c>
      <c r="M40" s="171"/>
      <c r="N40" s="171"/>
    </row>
    <row r="41" spans="2:14" ht="21" customHeight="1">
      <c r="B41" s="210" t="s">
        <v>96</v>
      </c>
      <c r="C41" s="210"/>
      <c r="D41" s="45"/>
      <c r="E41" s="166">
        <f>+E32+E30+E28+E22+E19+E16+E13+E9</f>
        <v>14771551150</v>
      </c>
      <c r="F41" s="166">
        <f>+F32+F30+F28+F22+F19+F16+F13+F9</f>
        <v>4818280713.029995</v>
      </c>
      <c r="G41" s="131">
        <f>IF(E41=0," ",F41/E41)</f>
        <v>0.326186509737672</v>
      </c>
      <c r="I41" s="166">
        <f>+I32+I30+I28+I22+I19+I16+I13+I9</f>
        <v>11864268698</v>
      </c>
      <c r="J41" s="166">
        <f>+J32+J30+J28+J22+J19+J16+J13+J9</f>
        <v>5404826286.020002</v>
      </c>
      <c r="K41" s="131">
        <f>IF(I41=0," ",J41/I41)</f>
        <v>0.45555494599773455</v>
      </c>
      <c r="M41" s="166">
        <f>+E41-I41</f>
        <v>2907282452</v>
      </c>
      <c r="N41" s="166">
        <f t="shared" si="4"/>
        <v>-586545572.9900074</v>
      </c>
    </row>
    <row r="42" ht="12.75">
      <c r="B42" s="65" t="s">
        <v>147</v>
      </c>
    </row>
    <row r="43" ht="12.75">
      <c r="B43" s="64" t="s">
        <v>140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showZeros="0" zoomScale="115" zoomScaleNormal="115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2" width="14.28125" style="37" bestFit="1" customWidth="1"/>
    <col min="3" max="3" width="13.7109375" style="37" bestFit="1" customWidth="1"/>
    <col min="4" max="4" width="12.8515625" style="37" bestFit="1" customWidth="1"/>
    <col min="5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12.00390625" style="37" bestFit="1" customWidth="1"/>
    <col min="14" max="15" width="11.57421875" style="37" customWidth="1"/>
    <col min="16" max="16" width="10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8" t="s">
        <v>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8.75">
      <c r="A2" s="226" t="s">
        <v>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5">
      <c r="A3" s="227" t="s">
        <v>116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9" t="s">
        <v>26</v>
      </c>
      <c r="C8" s="230"/>
      <c r="D8" s="231"/>
      <c r="E8" s="229" t="s">
        <v>142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ht="22.5" customHeight="1">
      <c r="A9" s="232" t="s">
        <v>133</v>
      </c>
      <c r="B9" s="220" t="s">
        <v>24</v>
      </c>
      <c r="C9" s="221"/>
      <c r="D9" s="222"/>
      <c r="E9" s="220" t="s">
        <v>28</v>
      </c>
      <c r="F9" s="221"/>
      <c r="G9" s="222"/>
      <c r="H9" s="223" t="s">
        <v>29</v>
      </c>
      <c r="I9" s="224"/>
      <c r="J9" s="225"/>
      <c r="K9" s="223" t="s">
        <v>135</v>
      </c>
      <c r="L9" s="224"/>
      <c r="M9" s="225"/>
      <c r="N9" s="223" t="s">
        <v>30</v>
      </c>
      <c r="O9" s="224"/>
      <c r="P9" s="225"/>
      <c r="Q9" s="223" t="s">
        <v>137</v>
      </c>
      <c r="R9" s="224"/>
      <c r="S9" s="225"/>
      <c r="T9" s="234" t="s">
        <v>4</v>
      </c>
      <c r="U9" s="235"/>
      <c r="V9" s="235"/>
      <c r="W9" s="236"/>
    </row>
    <row r="10" spans="1:23" ht="15">
      <c r="A10" s="233"/>
      <c r="B10" s="133">
        <v>2021</v>
      </c>
      <c r="C10" s="134">
        <v>2022</v>
      </c>
      <c r="D10" s="135" t="s">
        <v>13</v>
      </c>
      <c r="E10" s="133">
        <v>2021</v>
      </c>
      <c r="F10" s="191">
        <v>2022</v>
      </c>
      <c r="G10" s="135" t="s">
        <v>13</v>
      </c>
      <c r="H10" s="133">
        <v>2021</v>
      </c>
      <c r="I10" s="191">
        <v>2022</v>
      </c>
      <c r="J10" s="135" t="s">
        <v>13</v>
      </c>
      <c r="K10" s="133">
        <v>2021</v>
      </c>
      <c r="L10" s="191">
        <v>2022</v>
      </c>
      <c r="M10" s="135" t="s">
        <v>13</v>
      </c>
      <c r="N10" s="133">
        <v>2021</v>
      </c>
      <c r="O10" s="191">
        <v>2022</v>
      </c>
      <c r="P10" s="135" t="s">
        <v>13</v>
      </c>
      <c r="Q10" s="133">
        <v>2021</v>
      </c>
      <c r="R10" s="191">
        <v>2022</v>
      </c>
      <c r="S10" s="135" t="s">
        <v>13</v>
      </c>
      <c r="T10" s="133">
        <v>2021</v>
      </c>
      <c r="U10" s="191">
        <v>2022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2">
        <f>SUM(B14:B18)</f>
        <v>13703219588</v>
      </c>
      <c r="C12" s="173">
        <f>SUM(C14:C18)</f>
        <v>10376373622</v>
      </c>
      <c r="D12" s="174">
        <f>+C12-B12</f>
        <v>-3326845966</v>
      </c>
      <c r="E12" s="172">
        <f>SUM(E14:E18)</f>
        <v>2890699599.960002</v>
      </c>
      <c r="F12" s="173">
        <f>SUM(F14:F18)</f>
        <v>3461230682.820004</v>
      </c>
      <c r="G12" s="174">
        <f>+F12-E12</f>
        <v>570531082.860002</v>
      </c>
      <c r="H12" s="172">
        <f>SUM(H14:H18)</f>
        <v>45047244.28999997</v>
      </c>
      <c r="I12" s="175">
        <f>SUM(I14:I18)</f>
        <v>49587462.88000006</v>
      </c>
      <c r="J12" s="176">
        <f>+I12-H12</f>
        <v>4540218.590000093</v>
      </c>
      <c r="K12" s="172">
        <f>SUM(K14:K18)</f>
        <v>1453318500.3500004</v>
      </c>
      <c r="L12" s="173">
        <f>SUM(L14:L18)</f>
        <v>1408257305.0899994</v>
      </c>
      <c r="M12" s="174">
        <f>+L12-K12</f>
        <v>-45061195.260000944</v>
      </c>
      <c r="N12" s="172">
        <f>SUM(N14:N18)</f>
        <v>182212354.00000015</v>
      </c>
      <c r="O12" s="173">
        <f>SUM(O14:O18)</f>
        <v>160722928.0199999</v>
      </c>
      <c r="P12" s="174">
        <f>+O12-N12</f>
        <v>-21489425.980000257</v>
      </c>
      <c r="Q12" s="172">
        <f>SUM(Q14:Q18)</f>
        <v>95880</v>
      </c>
      <c r="R12" s="173">
        <f>SUM(R14:R18)</f>
        <v>0</v>
      </c>
      <c r="S12" s="174">
        <f>+R12-Q12</f>
        <v>-95880</v>
      </c>
      <c r="T12" s="172">
        <f>SUM(T14:T18)</f>
        <v>4571373578.600001</v>
      </c>
      <c r="U12" s="173">
        <f>SUM(U14:U18)</f>
        <v>5079798378.810003</v>
      </c>
      <c r="V12" s="173">
        <f>+U12-T12</f>
        <v>508424800.21000195</v>
      </c>
      <c r="W12" s="101">
        <f>IF(T12=0,"",V12/T12)</f>
        <v>0.11121926297822038</v>
      </c>
      <c r="X12" s="40"/>
    </row>
    <row r="13" spans="1:23" ht="4.5" customHeight="1">
      <c r="A13" s="38"/>
      <c r="B13" s="177"/>
      <c r="C13" s="178"/>
      <c r="D13" s="179"/>
      <c r="E13" s="177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177"/>
      <c r="R13" s="178"/>
      <c r="S13" s="179"/>
      <c r="T13" s="177"/>
      <c r="U13" s="178"/>
      <c r="V13" s="178"/>
      <c r="W13" s="100">
        <f aca="true" t="shared" si="0" ref="W13:W25">IF(T13=0,"",V13/T13)</f>
      </c>
    </row>
    <row r="14" spans="1:25" ht="15">
      <c r="A14" s="114" t="s">
        <v>36</v>
      </c>
      <c r="B14" s="177">
        <f>+Egresos_1!F20</f>
        <v>2861216231</v>
      </c>
      <c r="C14" s="178">
        <f>+Egresos_1!J20</f>
        <v>2982981450</v>
      </c>
      <c r="D14" s="179">
        <f>+C14-B14</f>
        <v>121765219</v>
      </c>
      <c r="E14" s="177">
        <v>1256750073.6700027</v>
      </c>
      <c r="F14" s="178">
        <v>1272915357.1900053</v>
      </c>
      <c r="G14" s="179">
        <f>+F14-E14</f>
        <v>16165283.520002604</v>
      </c>
      <c r="H14" s="177">
        <v>73868</v>
      </c>
      <c r="I14" s="178">
        <v>56278</v>
      </c>
      <c r="J14" s="179">
        <f>+I14-H14</f>
        <v>-17590</v>
      </c>
      <c r="K14" s="177">
        <v>53513202.45999999</v>
      </c>
      <c r="L14" s="178">
        <v>14965689</v>
      </c>
      <c r="M14" s="179">
        <f>+L14-K14</f>
        <v>-38547513.45999999</v>
      </c>
      <c r="N14" s="177">
        <v>0</v>
      </c>
      <c r="O14" s="178">
        <v>18505</v>
      </c>
      <c r="P14" s="179">
        <f>+O14-N14</f>
        <v>18505</v>
      </c>
      <c r="Q14" s="177">
        <v>0</v>
      </c>
      <c r="R14" s="178">
        <v>0</v>
      </c>
      <c r="S14" s="179">
        <f>+R14-Q14</f>
        <v>0</v>
      </c>
      <c r="T14" s="177">
        <f aca="true" t="shared" si="1" ref="T14:U18">+E14+H14+K14+N14+Q14</f>
        <v>1310337144.1300027</v>
      </c>
      <c r="U14" s="178">
        <f t="shared" si="1"/>
        <v>1287955829.1900053</v>
      </c>
      <c r="V14" s="178">
        <f>+U14-T14</f>
        <v>-22381314.939997435</v>
      </c>
      <c r="W14" s="100">
        <f t="shared" si="0"/>
        <v>-0.017080577346265714</v>
      </c>
      <c r="Y14" s="39"/>
    </row>
    <row r="15" spans="1:25" ht="15">
      <c r="A15" s="114" t="s">
        <v>37</v>
      </c>
      <c r="B15" s="177">
        <f>+Egresos_1!F21</f>
        <v>169971713</v>
      </c>
      <c r="C15" s="178">
        <f>+Egresos_1!J21</f>
        <v>150836902</v>
      </c>
      <c r="D15" s="179">
        <f>+C15-B15</f>
        <v>-19134811</v>
      </c>
      <c r="E15" s="177">
        <v>82191595.91</v>
      </c>
      <c r="F15" s="178">
        <v>75153142.99</v>
      </c>
      <c r="G15" s="179">
        <f>+F15-E15</f>
        <v>-7038452.920000002</v>
      </c>
      <c r="H15" s="177">
        <v>0</v>
      </c>
      <c r="I15" s="178">
        <v>0</v>
      </c>
      <c r="J15" s="179">
        <f>+I15-H15</f>
        <v>0</v>
      </c>
      <c r="K15" s="177">
        <v>0</v>
      </c>
      <c r="L15" s="178">
        <v>0</v>
      </c>
      <c r="M15" s="179">
        <f>+L15-K15</f>
        <v>0</v>
      </c>
      <c r="N15" s="177">
        <v>0</v>
      </c>
      <c r="O15" s="178">
        <v>0</v>
      </c>
      <c r="P15" s="179">
        <f>+O15-N15</f>
        <v>0</v>
      </c>
      <c r="Q15" s="177">
        <v>0</v>
      </c>
      <c r="R15" s="178">
        <v>0</v>
      </c>
      <c r="S15" s="179">
        <f>+R15-Q15</f>
        <v>0</v>
      </c>
      <c r="T15" s="177">
        <f t="shared" si="1"/>
        <v>82191595.91</v>
      </c>
      <c r="U15" s="178">
        <f t="shared" si="1"/>
        <v>75153142.99</v>
      </c>
      <c r="V15" s="178">
        <f>+U15-T15</f>
        <v>-7038452.920000002</v>
      </c>
      <c r="W15" s="100">
        <f t="shared" si="0"/>
        <v>-0.08563470318433926</v>
      </c>
      <c r="Y15" s="39"/>
    </row>
    <row r="16" spans="1:25" ht="15">
      <c r="A16" s="114" t="s">
        <v>38</v>
      </c>
      <c r="B16" s="177">
        <f>+Egresos_1!F22</f>
        <v>9517663614</v>
      </c>
      <c r="C16" s="178">
        <f>+Egresos_1!J22</f>
        <v>6106068995</v>
      </c>
      <c r="D16" s="179">
        <f>+C16-B16</f>
        <v>-3411594619</v>
      </c>
      <c r="E16" s="177">
        <v>1374944345.8799992</v>
      </c>
      <c r="F16" s="178">
        <v>1872816598.9799986</v>
      </c>
      <c r="G16" s="179">
        <f>+F16-E16</f>
        <v>497872253.0999994</v>
      </c>
      <c r="H16" s="177">
        <v>40075684.25999997</v>
      </c>
      <c r="I16" s="178">
        <v>49036092.34000006</v>
      </c>
      <c r="J16" s="179">
        <f>+I16-H16</f>
        <v>8960408.080000095</v>
      </c>
      <c r="K16" s="177">
        <v>1371524665.7300003</v>
      </c>
      <c r="L16" s="178">
        <v>1345928922.0899994</v>
      </c>
      <c r="M16" s="179">
        <f>+L16-K16</f>
        <v>-25595743.64000082</v>
      </c>
      <c r="N16" s="177">
        <v>182212354.00000015</v>
      </c>
      <c r="O16" s="178">
        <v>160666998.0199999</v>
      </c>
      <c r="P16" s="179">
        <f>+O16-N16</f>
        <v>-21545355.980000257</v>
      </c>
      <c r="Q16" s="177">
        <v>95880</v>
      </c>
      <c r="R16" s="178">
        <v>0</v>
      </c>
      <c r="S16" s="179">
        <f>+R16-Q16</f>
        <v>-95880</v>
      </c>
      <c r="T16" s="177">
        <f t="shared" si="1"/>
        <v>2968852929.8699994</v>
      </c>
      <c r="U16" s="178">
        <f t="shared" si="1"/>
        <v>3428448611.429998</v>
      </c>
      <c r="V16" s="178">
        <f>+U16-T16</f>
        <v>459595681.5599985</v>
      </c>
      <c r="W16" s="100">
        <f>IF(T16=0,"",V16/T16)</f>
        <v>0.1548058096566351</v>
      </c>
      <c r="Y16" s="39"/>
    </row>
    <row r="17" spans="1:25" ht="15">
      <c r="A17" s="114" t="s">
        <v>107</v>
      </c>
      <c r="B17" s="177">
        <f>+Egresos_1!F23</f>
        <v>776853003</v>
      </c>
      <c r="C17" s="178">
        <f>+Egresos_1!J23</f>
        <v>654439976</v>
      </c>
      <c r="D17" s="179">
        <f>+C17-B17</f>
        <v>-122413027</v>
      </c>
      <c r="E17" s="177">
        <v>94942768.87999995</v>
      </c>
      <c r="F17" s="178">
        <v>48880531.09000001</v>
      </c>
      <c r="G17" s="179">
        <f>+F17-E17</f>
        <v>-46062237.78999994</v>
      </c>
      <c r="H17" s="177">
        <v>0</v>
      </c>
      <c r="I17" s="178">
        <v>251565</v>
      </c>
      <c r="J17" s="179">
        <f>+I17-H17</f>
        <v>251565</v>
      </c>
      <c r="K17" s="177">
        <v>4343859.16</v>
      </c>
      <c r="L17" s="178">
        <v>0</v>
      </c>
      <c r="M17" s="179">
        <f>+L17-K17</f>
        <v>-4343859.16</v>
      </c>
      <c r="N17" s="177">
        <v>0</v>
      </c>
      <c r="O17" s="178">
        <v>0</v>
      </c>
      <c r="P17" s="179">
        <f>+O17-N17</f>
        <v>0</v>
      </c>
      <c r="Q17" s="177">
        <v>0</v>
      </c>
      <c r="R17" s="178">
        <v>0</v>
      </c>
      <c r="S17" s="179">
        <f>+R17-Q17</f>
        <v>0</v>
      </c>
      <c r="T17" s="177">
        <f t="shared" si="1"/>
        <v>99286628.03999995</v>
      </c>
      <c r="U17" s="178">
        <f t="shared" si="1"/>
        <v>49132096.09000001</v>
      </c>
      <c r="V17" s="178">
        <f>+U17-T17</f>
        <v>-50154531.949999936</v>
      </c>
      <c r="W17" s="100">
        <f>IF(T17=0,"",V17/T17)</f>
        <v>-0.5051489101814799</v>
      </c>
      <c r="Y17" s="39"/>
    </row>
    <row r="18" spans="1:25" ht="15">
      <c r="A18" s="114" t="s">
        <v>61</v>
      </c>
      <c r="B18" s="177">
        <f>+Egresos_1!F24</f>
        <v>377515027</v>
      </c>
      <c r="C18" s="178">
        <f>+Egresos_1!J24</f>
        <v>482046299</v>
      </c>
      <c r="D18" s="179">
        <f>+C18-B18</f>
        <v>104531272</v>
      </c>
      <c r="E18" s="177">
        <v>81870815.62</v>
      </c>
      <c r="F18" s="178">
        <v>191465052.56999996</v>
      </c>
      <c r="G18" s="179">
        <f>+F18-E18</f>
        <v>109594236.94999996</v>
      </c>
      <c r="H18" s="177">
        <v>4897692.03</v>
      </c>
      <c r="I18" s="178">
        <v>243527.53999999998</v>
      </c>
      <c r="J18" s="179">
        <f>+I18-H18</f>
        <v>-4654164.49</v>
      </c>
      <c r="K18" s="177">
        <v>23936773</v>
      </c>
      <c r="L18" s="178">
        <v>47362694</v>
      </c>
      <c r="M18" s="179">
        <f>+L18-K18</f>
        <v>23425921</v>
      </c>
      <c r="N18" s="177">
        <v>0</v>
      </c>
      <c r="O18" s="178">
        <v>37425</v>
      </c>
      <c r="P18" s="179">
        <f>+O18-N18</f>
        <v>37425</v>
      </c>
      <c r="Q18" s="177">
        <v>0</v>
      </c>
      <c r="R18" s="178">
        <v>0</v>
      </c>
      <c r="S18" s="179">
        <f>+R18-Q18</f>
        <v>0</v>
      </c>
      <c r="T18" s="177">
        <f t="shared" si="1"/>
        <v>110705280.65</v>
      </c>
      <c r="U18" s="178">
        <f t="shared" si="1"/>
        <v>239108699.10999995</v>
      </c>
      <c r="V18" s="178">
        <f>+U18-T18</f>
        <v>128403418.45999995</v>
      </c>
      <c r="W18" s="100">
        <f>IF(T18=0,"",V18/T18)</f>
        <v>1.1598671509261915</v>
      </c>
      <c r="Y18" s="39"/>
    </row>
    <row r="19" spans="1:23" ht="4.5" customHeight="1">
      <c r="A19" s="38"/>
      <c r="B19" s="177"/>
      <c r="C19" s="178"/>
      <c r="D19" s="179"/>
      <c r="E19" s="177"/>
      <c r="F19" s="178"/>
      <c r="G19" s="179"/>
      <c r="H19" s="177"/>
      <c r="I19" s="178"/>
      <c r="J19" s="179"/>
      <c r="K19" s="177"/>
      <c r="L19" s="178"/>
      <c r="M19" s="179"/>
      <c r="N19" s="177"/>
      <c r="O19" s="178"/>
      <c r="P19" s="179"/>
      <c r="Q19" s="177"/>
      <c r="R19" s="178"/>
      <c r="S19" s="179"/>
      <c r="T19" s="177"/>
      <c r="U19" s="178"/>
      <c r="V19" s="178"/>
      <c r="W19" s="100">
        <f t="shared" si="0"/>
      </c>
    </row>
    <row r="20" spans="1:24" ht="15">
      <c r="A20" s="132" t="s">
        <v>16</v>
      </c>
      <c r="B20" s="172">
        <f>+B22+B23</f>
        <v>1068331562</v>
      </c>
      <c r="C20" s="175">
        <f>+C22+C23</f>
        <v>1487895076</v>
      </c>
      <c r="D20" s="174">
        <f>+C20-B20</f>
        <v>419563514</v>
      </c>
      <c r="E20" s="172">
        <f>+E22+E23</f>
        <v>33048820.31</v>
      </c>
      <c r="F20" s="175">
        <f>+F22+F23</f>
        <v>126976551.40999998</v>
      </c>
      <c r="G20" s="174">
        <f>+F20-E20</f>
        <v>93927731.09999998</v>
      </c>
      <c r="H20" s="172">
        <f>+H22+H23</f>
        <v>5072525.989999998</v>
      </c>
      <c r="I20" s="175">
        <f>+I22+I23</f>
        <v>2287641.82</v>
      </c>
      <c r="J20" s="176">
        <f>+I20-H20</f>
        <v>-2784884.1699999985</v>
      </c>
      <c r="K20" s="172">
        <f>+K22+K23</f>
        <v>203097043.21000004</v>
      </c>
      <c r="L20" s="175">
        <f>+L22+L23</f>
        <v>190810625.08</v>
      </c>
      <c r="M20" s="176">
        <f>+L20-K20</f>
        <v>-12286418.130000025</v>
      </c>
      <c r="N20" s="172">
        <f>+N22+N23</f>
        <v>5688744.92</v>
      </c>
      <c r="O20" s="175">
        <f>+O22+O23</f>
        <v>4953088.899999999</v>
      </c>
      <c r="P20" s="174">
        <f>+O20-N20</f>
        <v>-735656.0200000005</v>
      </c>
      <c r="Q20" s="172">
        <f>+Q22+Q23</f>
        <v>0</v>
      </c>
      <c r="R20" s="175">
        <f>+R22+R23</f>
        <v>0</v>
      </c>
      <c r="S20" s="174">
        <f>+R20-Q20</f>
        <v>0</v>
      </c>
      <c r="T20" s="172">
        <f>+T22+T23</f>
        <v>246907134.43000004</v>
      </c>
      <c r="U20" s="175">
        <f>+U22+U23</f>
        <v>325027907.21</v>
      </c>
      <c r="V20" s="173">
        <f>+U20-T20</f>
        <v>78120772.77999994</v>
      </c>
      <c r="W20" s="101">
        <f t="shared" si="0"/>
        <v>0.3163973894895603</v>
      </c>
      <c r="X20" s="40"/>
    </row>
    <row r="21" spans="1:24" ht="4.5" customHeight="1">
      <c r="A21" s="38"/>
      <c r="B21" s="177"/>
      <c r="C21" s="178"/>
      <c r="D21" s="179"/>
      <c r="E21" s="177"/>
      <c r="F21" s="178"/>
      <c r="G21" s="179"/>
      <c r="H21" s="177"/>
      <c r="I21" s="178"/>
      <c r="J21" s="179"/>
      <c r="K21" s="177"/>
      <c r="L21" s="178"/>
      <c r="M21" s="179"/>
      <c r="N21" s="177"/>
      <c r="O21" s="178"/>
      <c r="P21" s="179"/>
      <c r="Q21" s="177"/>
      <c r="R21" s="178"/>
      <c r="S21" s="179"/>
      <c r="T21" s="177"/>
      <c r="U21" s="178"/>
      <c r="V21" s="178"/>
      <c r="W21" s="100">
        <f t="shared" si="0"/>
      </c>
      <c r="X21" s="40"/>
    </row>
    <row r="22" spans="1:24" ht="15">
      <c r="A22" s="114" t="s">
        <v>107</v>
      </c>
      <c r="B22" s="177">
        <f>+Egresos_1!F26</f>
        <v>5480304</v>
      </c>
      <c r="C22" s="178">
        <f>+Egresos_1!J26</f>
        <v>2546619</v>
      </c>
      <c r="D22" s="179">
        <f>+C22-B22</f>
        <v>-2933685</v>
      </c>
      <c r="E22" s="177">
        <v>0</v>
      </c>
      <c r="F22" s="178">
        <v>2546619</v>
      </c>
      <c r="G22" s="179">
        <f>+F22-E22</f>
        <v>2546619</v>
      </c>
      <c r="H22" s="180">
        <v>0</v>
      </c>
      <c r="I22" s="181">
        <v>0</v>
      </c>
      <c r="J22" s="179">
        <f>+I22-H22</f>
        <v>0</v>
      </c>
      <c r="K22" s="177">
        <v>0</v>
      </c>
      <c r="L22" s="178">
        <v>0</v>
      </c>
      <c r="M22" s="179">
        <f>+L22-K22</f>
        <v>0</v>
      </c>
      <c r="N22" s="177">
        <v>0</v>
      </c>
      <c r="O22" s="178">
        <v>0</v>
      </c>
      <c r="P22" s="179">
        <f>+O22-N22</f>
        <v>0</v>
      </c>
      <c r="Q22" s="177">
        <v>0</v>
      </c>
      <c r="R22" s="178">
        <v>0</v>
      </c>
      <c r="S22" s="179">
        <f>+R22-Q22</f>
        <v>0</v>
      </c>
      <c r="T22" s="177">
        <f>+E22+H22+K22+N22+Q22</f>
        <v>0</v>
      </c>
      <c r="U22" s="182">
        <f>+F22+I22+L22+O22+R22</f>
        <v>2546619</v>
      </c>
      <c r="V22" s="178">
        <f>+U22-T22</f>
        <v>2546619</v>
      </c>
      <c r="W22" s="100">
        <f t="shared" si="0"/>
      </c>
      <c r="X22" s="40"/>
    </row>
    <row r="23" spans="1:25" ht="15">
      <c r="A23" s="85" t="s">
        <v>39</v>
      </c>
      <c r="B23" s="172">
        <f>+B24+B25</f>
        <v>1062851258</v>
      </c>
      <c r="C23" s="173">
        <f>+C24+C25</f>
        <v>1485348457</v>
      </c>
      <c r="D23" s="174">
        <f>+C23-B23</f>
        <v>422497199</v>
      </c>
      <c r="E23" s="172">
        <f>+E24+E25</f>
        <v>33048820.31</v>
      </c>
      <c r="F23" s="173">
        <f>+F24+F25</f>
        <v>124429932.40999998</v>
      </c>
      <c r="G23" s="174">
        <f>+F23-E23</f>
        <v>91381112.09999998</v>
      </c>
      <c r="H23" s="172">
        <f>+H24+H25</f>
        <v>5072525.989999998</v>
      </c>
      <c r="I23" s="173">
        <f>+I24+I25</f>
        <v>2287641.82</v>
      </c>
      <c r="J23" s="174">
        <f>+I23-H23</f>
        <v>-2784884.1699999985</v>
      </c>
      <c r="K23" s="172">
        <f>+K24+K25</f>
        <v>203097043.21000004</v>
      </c>
      <c r="L23" s="173">
        <f>+L24+L25</f>
        <v>190810625.08</v>
      </c>
      <c r="M23" s="174">
        <f>+L23-K23</f>
        <v>-12286418.130000025</v>
      </c>
      <c r="N23" s="172">
        <f>+N24+N25</f>
        <v>5688744.92</v>
      </c>
      <c r="O23" s="173">
        <f>+O24+O25</f>
        <v>4953088.899999999</v>
      </c>
      <c r="P23" s="174">
        <f>+O23-N23</f>
        <v>-735656.0200000005</v>
      </c>
      <c r="Q23" s="172">
        <f>+Q24+Q25</f>
        <v>0</v>
      </c>
      <c r="R23" s="173">
        <f>+R24+R25</f>
        <v>0</v>
      </c>
      <c r="S23" s="174">
        <f>+R23-Q23</f>
        <v>0</v>
      </c>
      <c r="T23" s="172">
        <f>SUM(T24:T25)</f>
        <v>246907134.43000004</v>
      </c>
      <c r="U23" s="173">
        <f>SUM(U24:U25)</f>
        <v>322481288.21</v>
      </c>
      <c r="V23" s="173">
        <f>+U23-T23</f>
        <v>75574153.77999994</v>
      </c>
      <c r="W23" s="101">
        <f t="shared" si="0"/>
        <v>0.30608331328484056</v>
      </c>
      <c r="Y23" s="39"/>
    </row>
    <row r="24" spans="1:25" ht="15">
      <c r="A24" s="115" t="s">
        <v>57</v>
      </c>
      <c r="B24" s="177">
        <f>+Egresos_1!F29</f>
        <v>945648416</v>
      </c>
      <c r="C24" s="178">
        <f>+Egresos_1!J29</f>
        <v>1420832626</v>
      </c>
      <c r="D24" s="179">
        <f>+C24-B24</f>
        <v>475184210</v>
      </c>
      <c r="E24" s="177">
        <v>29040365.15</v>
      </c>
      <c r="F24" s="183">
        <v>116497892.39999998</v>
      </c>
      <c r="G24" s="179">
        <f>+F24-E24</f>
        <v>87457527.24999997</v>
      </c>
      <c r="H24" s="177">
        <v>0</v>
      </c>
      <c r="I24" s="183">
        <v>262395.3</v>
      </c>
      <c r="J24" s="179">
        <f>+I24-H24</f>
        <v>262395.3</v>
      </c>
      <c r="K24" s="177">
        <v>202449624.41000003</v>
      </c>
      <c r="L24" s="183">
        <v>189632075.08</v>
      </c>
      <c r="M24" s="179">
        <f>+L24-K24</f>
        <v>-12817549.330000013</v>
      </c>
      <c r="N24" s="177">
        <v>2176070</v>
      </c>
      <c r="O24" s="183">
        <v>1183744.9799999997</v>
      </c>
      <c r="P24" s="179">
        <f>+O24-N24</f>
        <v>-992325.0200000003</v>
      </c>
      <c r="Q24" s="177">
        <v>0</v>
      </c>
      <c r="R24" s="183">
        <v>0</v>
      </c>
      <c r="S24" s="179">
        <f>+R24-Q24</f>
        <v>0</v>
      </c>
      <c r="T24" s="177">
        <f>+E24+H24+K24+N24+Q24</f>
        <v>233666059.56000003</v>
      </c>
      <c r="U24" s="178">
        <f>+F24+I24+L24+O24+R24</f>
        <v>307576107.76</v>
      </c>
      <c r="V24" s="178">
        <f>+U24-T24</f>
        <v>73910048.19999996</v>
      </c>
      <c r="W24" s="100">
        <f t="shared" si="0"/>
        <v>0.3163063062696171</v>
      </c>
      <c r="Y24" s="39"/>
    </row>
    <row r="25" spans="1:25" ht="15.75" thickBot="1">
      <c r="A25" s="116" t="s">
        <v>58</v>
      </c>
      <c r="B25" s="177">
        <f>+Egresos_1!F30</f>
        <v>117202842</v>
      </c>
      <c r="C25" s="183">
        <f>+Egresos_1!J30</f>
        <v>64515831</v>
      </c>
      <c r="D25" s="179">
        <f>+C25-B25</f>
        <v>-52687011</v>
      </c>
      <c r="E25" s="177">
        <v>4008455.1599999988</v>
      </c>
      <c r="F25" s="184">
        <v>7932040.010000001</v>
      </c>
      <c r="G25" s="179">
        <f>+F25-E25</f>
        <v>3923584.850000002</v>
      </c>
      <c r="H25" s="180">
        <v>5072525.989999998</v>
      </c>
      <c r="I25" s="181">
        <v>2025246.5199999998</v>
      </c>
      <c r="J25" s="179">
        <f>+I25-H25</f>
        <v>-3047279.469999999</v>
      </c>
      <c r="K25" s="177">
        <v>647418.8</v>
      </c>
      <c r="L25" s="184">
        <v>1178550</v>
      </c>
      <c r="M25" s="179">
        <f>+L25-K25</f>
        <v>531131.2</v>
      </c>
      <c r="N25" s="177">
        <v>3512674.92</v>
      </c>
      <c r="O25" s="184">
        <v>3769343.92</v>
      </c>
      <c r="P25" s="179">
        <f>+O25-N25</f>
        <v>256669</v>
      </c>
      <c r="Q25" s="177">
        <v>0</v>
      </c>
      <c r="R25" s="184">
        <v>0</v>
      </c>
      <c r="S25" s="179">
        <f>+R25-Q25</f>
        <v>0</v>
      </c>
      <c r="T25" s="177">
        <f>+E25+H25+K25+N25+Q25</f>
        <v>13241074.869999997</v>
      </c>
      <c r="U25" s="178">
        <f>+F25+I25+L25+O25+R25</f>
        <v>14905180.450000001</v>
      </c>
      <c r="V25" s="178">
        <f>+U25-T25</f>
        <v>1664105.5800000038</v>
      </c>
      <c r="W25" s="100">
        <f t="shared" si="0"/>
        <v>0.1256775296823017</v>
      </c>
      <c r="Y25" s="39"/>
    </row>
    <row r="26" spans="1:23" ht="15.75" thickBot="1">
      <c r="A26" s="138" t="s">
        <v>17</v>
      </c>
      <c r="B26" s="185">
        <f>+B12+B20</f>
        <v>14771551150</v>
      </c>
      <c r="C26" s="185">
        <f>+C12+C20</f>
        <v>11864268698</v>
      </c>
      <c r="D26" s="186">
        <f>+C26-B26</f>
        <v>-2907282452</v>
      </c>
      <c r="E26" s="185">
        <f>+E12+E20</f>
        <v>2923748420.270002</v>
      </c>
      <c r="F26" s="187">
        <f>+F12+F20</f>
        <v>3588207234.230004</v>
      </c>
      <c r="G26" s="186">
        <f>+F26-E26</f>
        <v>664458813.960002</v>
      </c>
      <c r="H26" s="185">
        <f>+H12+H20</f>
        <v>50119770.27999997</v>
      </c>
      <c r="I26" s="188">
        <f>+I12+I20</f>
        <v>51875104.70000006</v>
      </c>
      <c r="J26" s="186">
        <f>+I26-H26</f>
        <v>1755334.4200000912</v>
      </c>
      <c r="K26" s="185">
        <f>+K12+K20</f>
        <v>1656415543.5600004</v>
      </c>
      <c r="L26" s="188">
        <f>+L12+L20</f>
        <v>1599067930.1699994</v>
      </c>
      <c r="M26" s="189">
        <f>+L26-K26</f>
        <v>-57347613.39000106</v>
      </c>
      <c r="N26" s="185">
        <f>+N12+N20</f>
        <v>187901098.92000014</v>
      </c>
      <c r="O26" s="187">
        <f>+O12+O20</f>
        <v>165676016.9199999</v>
      </c>
      <c r="P26" s="186">
        <f>+O26-N26</f>
        <v>-22225082.00000024</v>
      </c>
      <c r="Q26" s="185">
        <f>+Q12+Q20</f>
        <v>95880</v>
      </c>
      <c r="R26" s="187">
        <f>+R12+R20</f>
        <v>0</v>
      </c>
      <c r="S26" s="186">
        <f>+R26-Q26</f>
        <v>-95880</v>
      </c>
      <c r="T26" s="185">
        <f>+T12+T20</f>
        <v>4818280713.030002</v>
      </c>
      <c r="U26" s="187">
        <f>+U12+U20</f>
        <v>5404826286.020003</v>
      </c>
      <c r="V26" s="187">
        <f>+U26-T26</f>
        <v>586545572.9900017</v>
      </c>
      <c r="W26" s="137">
        <f>IF(T26=0,"",V26/T26)</f>
        <v>0.12173337501981062</v>
      </c>
    </row>
    <row r="27" spans="1:23" ht="15">
      <c r="A27" s="65" t="s">
        <v>147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144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190"/>
    </row>
    <row r="30" spans="2:20" ht="15">
      <c r="B30" s="42"/>
      <c r="T30" s="42"/>
    </row>
    <row r="31" spans="3:21" ht="15">
      <c r="C31" s="42"/>
      <c r="U31" s="42"/>
    </row>
  </sheetData>
  <sheetProtection/>
  <mergeCells count="13"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  <mergeCell ref="K9:M9"/>
    <mergeCell ref="A2:W2"/>
    <mergeCell ref="A3:W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15" zoomScaleNormal="115" zoomScalePageLayoutView="0" workbookViewId="0" topLeftCell="A1">
      <selection activeCell="T32" sqref="T32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5" width="11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1.7109375" style="6" bestFit="1" customWidth="1"/>
    <col min="12" max="12" width="12.28125" style="105" bestFit="1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20" width="11.7109375" style="6" bestFit="1" customWidth="1"/>
    <col min="21" max="21" width="11.7109375" style="105" bestFit="1" customWidth="1"/>
    <col min="22" max="22" width="6.57421875" style="105" bestFit="1" customWidth="1"/>
    <col min="23" max="16384" width="16.57421875" style="6" customWidth="1"/>
  </cols>
  <sheetData>
    <row r="1" spans="2:22" ht="14.25">
      <c r="B1" s="242" t="s">
        <v>149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</row>
    <row r="2" spans="2:23" ht="12.75">
      <c r="B2" s="243" t="s">
        <v>18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7"/>
    </row>
    <row r="3" spans="2:23" ht="15.75">
      <c r="B3" s="244" t="s">
        <v>116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39" t="s">
        <v>60</v>
      </c>
      <c r="B7" s="239" t="s">
        <v>136</v>
      </c>
      <c r="C7" s="8"/>
      <c r="D7" s="229" t="s">
        <v>26</v>
      </c>
      <c r="E7" s="230"/>
      <c r="F7" s="231"/>
      <c r="G7" s="229" t="s">
        <v>143</v>
      </c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1"/>
    </row>
    <row r="8" spans="1:22" ht="16.5" customHeight="1">
      <c r="A8" s="240"/>
      <c r="B8" s="240"/>
      <c r="C8" s="17"/>
      <c r="D8" s="245" t="s">
        <v>59</v>
      </c>
      <c r="E8" s="246"/>
      <c r="F8" s="247"/>
      <c r="G8" s="223" t="s">
        <v>19</v>
      </c>
      <c r="H8" s="224"/>
      <c r="I8" s="225"/>
      <c r="J8" s="223" t="s">
        <v>118</v>
      </c>
      <c r="K8" s="224"/>
      <c r="L8" s="225"/>
      <c r="M8" s="223" t="s">
        <v>20</v>
      </c>
      <c r="N8" s="224"/>
      <c r="O8" s="225"/>
      <c r="P8" s="223" t="s">
        <v>104</v>
      </c>
      <c r="Q8" s="224"/>
      <c r="R8" s="225"/>
      <c r="S8" s="223" t="s">
        <v>4</v>
      </c>
      <c r="T8" s="224"/>
      <c r="U8" s="224"/>
      <c r="V8" s="225"/>
    </row>
    <row r="9" spans="1:22" ht="17.25" customHeight="1" thickBot="1">
      <c r="A9" s="241"/>
      <c r="B9" s="241"/>
      <c r="C9" s="16"/>
      <c r="D9" s="139">
        <v>2021</v>
      </c>
      <c r="E9" s="140">
        <v>2022</v>
      </c>
      <c r="F9" s="141" t="s">
        <v>13</v>
      </c>
      <c r="G9" s="192">
        <v>2021</v>
      </c>
      <c r="H9" s="140">
        <v>2022</v>
      </c>
      <c r="I9" s="141" t="s">
        <v>13</v>
      </c>
      <c r="J9" s="192">
        <v>2021</v>
      </c>
      <c r="K9" s="140">
        <v>2022</v>
      </c>
      <c r="L9" s="141" t="s">
        <v>13</v>
      </c>
      <c r="M9" s="192">
        <v>2021</v>
      </c>
      <c r="N9" s="140">
        <v>2022</v>
      </c>
      <c r="O9" s="141" t="s">
        <v>13</v>
      </c>
      <c r="P9" s="192">
        <v>2021</v>
      </c>
      <c r="Q9" s="140">
        <v>2022</v>
      </c>
      <c r="R9" s="141" t="s">
        <v>13</v>
      </c>
      <c r="S9" s="192">
        <v>2021</v>
      </c>
      <c r="T9" s="140">
        <v>2022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61191</v>
      </c>
      <c r="E12" s="51">
        <v>26750</v>
      </c>
      <c r="F12" s="150">
        <f>+E12-D12</f>
        <v>-34441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53244694</v>
      </c>
      <c r="E14" s="51">
        <v>30734950</v>
      </c>
      <c r="F14" s="150">
        <f aca="true" t="shared" si="0" ref="F14:F24">+E14-D14</f>
        <v>-22509744</v>
      </c>
      <c r="G14" s="50">
        <f>8998616+8982699</f>
        <v>17981315</v>
      </c>
      <c r="H14" s="51">
        <f>7611107+8763241</f>
        <v>16374348</v>
      </c>
      <c r="I14" s="150">
        <f>+H14-G14</f>
        <v>-1606967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17981315</v>
      </c>
      <c r="T14" s="51">
        <f t="shared" si="1"/>
        <v>16374348</v>
      </c>
      <c r="U14" s="150">
        <f aca="true" t="shared" si="2" ref="U14:U24">+T14-S14</f>
        <v>-1606967</v>
      </c>
      <c r="V14" s="118">
        <f>IF(S14=0," ",U14/S14)</f>
        <v>-0.08936871413464477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38136391</v>
      </c>
      <c r="E15" s="51">
        <v>56285921</v>
      </c>
      <c r="F15" s="150">
        <f t="shared" si="0"/>
        <v>18149530</v>
      </c>
      <c r="G15" s="50">
        <f>16344772+16583071</f>
        <v>32927843</v>
      </c>
      <c r="H15" s="51">
        <f>17520941+19708588</f>
        <v>37229529</v>
      </c>
      <c r="I15" s="150">
        <f>+H15-G15</f>
        <v>4301686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32927843</v>
      </c>
      <c r="T15" s="51">
        <f t="shared" si="1"/>
        <v>37229529</v>
      </c>
      <c r="U15" s="150">
        <f t="shared" si="2"/>
        <v>4301686</v>
      </c>
      <c r="V15" s="118">
        <f>IF(S15=0," ",U15/S15)</f>
        <v>0.1306397749770612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86687487</v>
      </c>
      <c r="E16" s="51">
        <v>62421462</v>
      </c>
      <c r="F16" s="150">
        <f t="shared" si="0"/>
        <v>-24266025</v>
      </c>
      <c r="G16" s="50">
        <f>12615397+12365564</f>
        <v>24980961</v>
      </c>
      <c r="H16" s="51">
        <f>13640882+15257743</f>
        <v>28898625</v>
      </c>
      <c r="I16" s="150">
        <f>+H16-G16</f>
        <v>3917664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24980961</v>
      </c>
      <c r="T16" s="51">
        <f t="shared" si="1"/>
        <v>28898625</v>
      </c>
      <c r="U16" s="150">
        <f t="shared" si="2"/>
        <v>3917664</v>
      </c>
      <c r="V16" s="118">
        <f>IF(S16=0," ",U16/S16)</f>
        <v>0.15682599240277426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580436407</v>
      </c>
      <c r="E18" s="51">
        <v>392208306</v>
      </c>
      <c r="F18" s="150">
        <f>+E18-D18</f>
        <v>-188228101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f>335085504+26801615</f>
        <v>361887119</v>
      </c>
      <c r="N18" s="51">
        <v>392258391</v>
      </c>
      <c r="O18" s="150">
        <f>+N18-M18</f>
        <v>30371272</v>
      </c>
      <c r="P18" s="50">
        <v>3853675</v>
      </c>
      <c r="Q18" s="51">
        <v>0</v>
      </c>
      <c r="R18" s="150">
        <f>+Q18-P18</f>
        <v>-3853675</v>
      </c>
      <c r="S18" s="50">
        <f>+G18+J18+M18+P18</f>
        <v>365740794</v>
      </c>
      <c r="T18" s="51">
        <f>+H18+K18+N18+Q18</f>
        <v>392258391</v>
      </c>
      <c r="U18" s="150">
        <f>+T18-S18</f>
        <v>26517597</v>
      </c>
      <c r="V18" s="118">
        <f>IF(S18=0," ",U18/S18)</f>
        <v>0.07250379896096579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28466911</v>
      </c>
      <c r="E19" s="51">
        <v>0</v>
      </c>
      <c r="F19" s="150">
        <f>+E19-D19</f>
        <v>-28466911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0</v>
      </c>
      <c r="N19" s="51">
        <v>0</v>
      </c>
      <c r="O19" s="150">
        <f>+N19-M19</f>
        <v>0</v>
      </c>
      <c r="P19" s="50">
        <v>0</v>
      </c>
      <c r="Q19" s="51">
        <v>0</v>
      </c>
      <c r="R19" s="150">
        <f>+Q19-P19</f>
        <v>0</v>
      </c>
      <c r="S19" s="50">
        <f>+G19+J19+M19+P19</f>
        <v>0</v>
      </c>
      <c r="T19" s="51">
        <f>+H19+K19+N19+Q19</f>
        <v>0</v>
      </c>
      <c r="U19" s="150">
        <f>+T19-S19</f>
        <v>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554048</v>
      </c>
      <c r="E21" s="52">
        <v>363272</v>
      </c>
      <c r="F21" s="150">
        <f t="shared" si="0"/>
        <v>-190776</v>
      </c>
      <c r="G21" s="50">
        <f>10427+15763</f>
        <v>26190</v>
      </c>
      <c r="H21" s="51">
        <v>1124797</v>
      </c>
      <c r="I21" s="150">
        <f>+H21-G21</f>
        <v>1098607</v>
      </c>
      <c r="J21" s="50">
        <v>199108</v>
      </c>
      <c r="K21" s="52">
        <v>0</v>
      </c>
      <c r="L21" s="150">
        <f>+K21-J21</f>
        <v>-199108</v>
      </c>
      <c r="M21" s="50">
        <v>7</v>
      </c>
      <c r="N21" s="52">
        <v>-5</v>
      </c>
      <c r="O21" s="150">
        <f>+N21-M21</f>
        <v>-12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225305</v>
      </c>
      <c r="T21" s="52">
        <f t="shared" si="3"/>
        <v>1124792</v>
      </c>
      <c r="U21" s="150">
        <f t="shared" si="2"/>
        <v>899487</v>
      </c>
      <c r="V21" s="118">
        <f>IF(S21=0," ",U21/S21)</f>
        <v>3.9923082044339893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14329615</v>
      </c>
      <c r="E22" s="51">
        <v>19580267</v>
      </c>
      <c r="F22" s="150">
        <f t="shared" si="0"/>
        <v>5250652</v>
      </c>
      <c r="G22" s="50">
        <f>11358556+11739846</f>
        <v>23098402</v>
      </c>
      <c r="H22" s="51">
        <f>5529440+10942315</f>
        <v>16471755</v>
      </c>
      <c r="I22" s="150">
        <f>+H22-G22</f>
        <v>-6626647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23098402</v>
      </c>
      <c r="T22" s="51">
        <f t="shared" si="3"/>
        <v>16471755</v>
      </c>
      <c r="U22" s="150">
        <f t="shared" si="2"/>
        <v>-6626647</v>
      </c>
      <c r="V22" s="118">
        <f>IF(S22=0," ",U22/S22)</f>
        <v>-0.2868876816673292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16740</v>
      </c>
      <c r="E23" s="51">
        <v>0</v>
      </c>
      <c r="F23" s="150">
        <f>+E23-D23</f>
        <v>-16740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f>5580+5580</f>
        <v>11160</v>
      </c>
      <c r="N23" s="51">
        <v>11540</v>
      </c>
      <c r="O23" s="150">
        <f>+N23-M23</f>
        <v>380</v>
      </c>
      <c r="P23" s="50">
        <v>0</v>
      </c>
      <c r="Q23" s="51">
        <v>0</v>
      </c>
      <c r="R23" s="150">
        <f>+Q23-P23</f>
        <v>0</v>
      </c>
      <c r="S23" s="50">
        <f t="shared" si="3"/>
        <v>11160</v>
      </c>
      <c r="T23" s="51">
        <f t="shared" si="3"/>
        <v>11540</v>
      </c>
      <c r="U23" s="150">
        <f>+T23-S23</f>
        <v>380</v>
      </c>
      <c r="V23" s="118">
        <f>IF(S23=0," ",U23/S23)</f>
        <v>0.034050179211469536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963447</v>
      </c>
      <c r="E24" s="51">
        <v>5906520</v>
      </c>
      <c r="F24" s="150">
        <f t="shared" si="0"/>
        <v>4943073</v>
      </c>
      <c r="G24" s="50">
        <f>1605520+906820</f>
        <v>2512340</v>
      </c>
      <c r="H24" s="51">
        <f>1252570+1341882</f>
        <v>2594452</v>
      </c>
      <c r="I24" s="150">
        <f>+H24-G24</f>
        <v>82112</v>
      </c>
      <c r="J24" s="50">
        <f>119716+92322</f>
        <v>212038</v>
      </c>
      <c r="K24" s="51">
        <v>204863</v>
      </c>
      <c r="L24" s="150">
        <f>+K24-J24</f>
        <v>-7175</v>
      </c>
      <c r="M24" s="50">
        <f>21331+15869</f>
        <v>37200</v>
      </c>
      <c r="N24" s="51">
        <v>9318</v>
      </c>
      <c r="O24" s="150">
        <f>+N24-M24</f>
        <v>-27882</v>
      </c>
      <c r="P24" s="50">
        <v>6000</v>
      </c>
      <c r="Q24" s="51">
        <v>520</v>
      </c>
      <c r="R24" s="150">
        <f>+Q24-P24</f>
        <v>-5480</v>
      </c>
      <c r="S24" s="50">
        <f t="shared" si="3"/>
        <v>2767578</v>
      </c>
      <c r="T24" s="51">
        <f t="shared" si="3"/>
        <v>2809153</v>
      </c>
      <c r="U24" s="150">
        <f t="shared" si="2"/>
        <v>41575</v>
      </c>
      <c r="V24" s="118">
        <f>IF(S24=0," ",U24/S24)</f>
        <v>0.015022160170372795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4838271331</v>
      </c>
      <c r="E26" s="51">
        <v>450936417</v>
      </c>
      <c r="F26" s="150">
        <f>+E26-D26</f>
        <v>-4387334914</v>
      </c>
      <c r="G26" s="50">
        <v>0</v>
      </c>
      <c r="H26" s="51">
        <v>0</v>
      </c>
      <c r="I26" s="150">
        <f>+H26-G26</f>
        <v>0</v>
      </c>
      <c r="J26" s="50">
        <f>597302882+661826907</f>
        <v>1259129789</v>
      </c>
      <c r="K26" s="51">
        <v>0</v>
      </c>
      <c r="L26" s="150">
        <f>+K26-J26</f>
        <v>-1259129789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1259129789</v>
      </c>
      <c r="T26" s="51">
        <f>+H26+K26+N26+Q26</f>
        <v>0</v>
      </c>
      <c r="U26" s="150">
        <f>+T26-S26</f>
        <v>-1259129789</v>
      </c>
      <c r="V26" s="118">
        <f>IF(S26=0," ",U26/S26)</f>
        <v>-1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1409366479</v>
      </c>
      <c r="E27" s="51">
        <v>1887232519</v>
      </c>
      <c r="F27" s="150">
        <f>+E27-D27</f>
        <v>477866040</v>
      </c>
      <c r="G27" s="50">
        <v>0</v>
      </c>
      <c r="H27" s="51">
        <v>0</v>
      </c>
      <c r="I27" s="150">
        <f>+H27-G27</f>
        <v>0</v>
      </c>
      <c r="J27" s="50">
        <f>389011926+559714204</f>
        <v>948726130</v>
      </c>
      <c r="K27" s="51">
        <v>1890355285</v>
      </c>
      <c r="L27" s="150">
        <f>+K27-J27</f>
        <v>941629155</v>
      </c>
      <c r="M27" s="50">
        <v>0</v>
      </c>
      <c r="N27" s="51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0">
        <f>+G27+J27+M27+P27</f>
        <v>948726130</v>
      </c>
      <c r="T27" s="51">
        <f>+H27+K27+N27+Q27</f>
        <v>1890355285</v>
      </c>
      <c r="U27" s="150">
        <f>+T27-S27</f>
        <v>941629155</v>
      </c>
      <c r="V27" s="118">
        <f>IF(S27=0," ",U27/S27)</f>
        <v>0.9925194692381878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310408979</v>
      </c>
      <c r="E29" s="51">
        <v>278518561</v>
      </c>
      <c r="F29" s="150">
        <f>+E29-D29</f>
        <v>-31890418</v>
      </c>
      <c r="G29" s="50">
        <f>47630002-1399573</f>
        <v>46230429</v>
      </c>
      <c r="H29" s="51">
        <f>91256799-181774</f>
        <v>91075025</v>
      </c>
      <c r="I29" s="150">
        <f>+H29-G29</f>
        <v>44844596</v>
      </c>
      <c r="J29" s="50">
        <v>149498115</v>
      </c>
      <c r="K29" s="51">
        <v>425656889</v>
      </c>
      <c r="L29" s="150">
        <f>+K29-J29</f>
        <v>276158774</v>
      </c>
      <c r="M29" s="50">
        <f>123245006+413672</f>
        <v>123658678</v>
      </c>
      <c r="N29" s="51">
        <v>165434029</v>
      </c>
      <c r="O29" s="150">
        <f>+N29-M29</f>
        <v>41775351</v>
      </c>
      <c r="P29" s="50">
        <v>1496614</v>
      </c>
      <c r="Q29" s="51">
        <v>2500237</v>
      </c>
      <c r="R29" s="150">
        <f>+Q29-P29</f>
        <v>1003623</v>
      </c>
      <c r="S29" s="50">
        <f>+G29+J29+M29+P29</f>
        <v>320883836</v>
      </c>
      <c r="T29" s="51">
        <f>+H29+K29+N29+Q29</f>
        <v>684666180</v>
      </c>
      <c r="U29" s="150">
        <f>+T29-S29</f>
        <v>363782344</v>
      </c>
      <c r="V29" s="118">
        <f>IF(S29=0," ",U29/S29)</f>
        <v>1.1336885912819865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7" t="s">
        <v>4</v>
      </c>
      <c r="B31" s="238"/>
      <c r="C31" s="17"/>
      <c r="D31" s="152">
        <f>SUM(D12:D29)</f>
        <v>7360943720</v>
      </c>
      <c r="E31" s="153">
        <f aca="true" t="shared" si="4" ref="E31:U31">SUM(E12:E29)</f>
        <v>3184214945</v>
      </c>
      <c r="F31" s="154">
        <f t="shared" si="4"/>
        <v>-4176728775</v>
      </c>
      <c r="G31" s="152">
        <f t="shared" si="4"/>
        <v>147757480</v>
      </c>
      <c r="H31" s="155">
        <f>SUM(H12:H29)</f>
        <v>193768531</v>
      </c>
      <c r="I31" s="154">
        <f t="shared" si="4"/>
        <v>46011051</v>
      </c>
      <c r="J31" s="152">
        <f t="shared" si="4"/>
        <v>2357765180</v>
      </c>
      <c r="K31" s="155">
        <f t="shared" si="4"/>
        <v>2316217037</v>
      </c>
      <c r="L31" s="154">
        <f t="shared" si="4"/>
        <v>-41548143</v>
      </c>
      <c r="M31" s="152">
        <f t="shared" si="4"/>
        <v>485594164</v>
      </c>
      <c r="N31" s="155">
        <f t="shared" si="4"/>
        <v>557713273</v>
      </c>
      <c r="O31" s="154">
        <f t="shared" si="4"/>
        <v>72119109</v>
      </c>
      <c r="P31" s="152">
        <f t="shared" si="4"/>
        <v>5356289</v>
      </c>
      <c r="Q31" s="155">
        <f t="shared" si="4"/>
        <v>2500757</v>
      </c>
      <c r="R31" s="154">
        <f t="shared" si="4"/>
        <v>-2855532</v>
      </c>
      <c r="S31" s="152">
        <f t="shared" si="4"/>
        <v>2996473113</v>
      </c>
      <c r="T31" s="155">
        <f t="shared" si="4"/>
        <v>3070199598</v>
      </c>
      <c r="U31" s="154">
        <f t="shared" si="4"/>
        <v>73726485</v>
      </c>
      <c r="V31" s="156">
        <f>IF(S31=0," ",U31/S31)</f>
        <v>0.0246044206704684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150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7"/>
      <c r="N34" s="157"/>
      <c r="O34" s="47"/>
      <c r="P34" s="111"/>
      <c r="R34" s="47"/>
      <c r="S34" s="157"/>
      <c r="T34" s="157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2022-07-14T21:46:43Z</dcterms:modified>
  <cp:category/>
  <cp:version/>
  <cp:contentType/>
  <cp:contentStatus/>
</cp:coreProperties>
</file>