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COMPARATIVO - TRIM-2025\"/>
    </mc:Choice>
  </mc:AlternateContent>
  <xr:revisionPtr revIDLastSave="0" documentId="13_ncr:1_{4D6DB11F-72D6-459D-95B5-A8DA44C6C80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gresos_1" sheetId="1" r:id="rId1"/>
    <sheet name="Egresos_2" sheetId="8" r:id="rId2"/>
    <sheet name="Gto_09_10" sheetId="2" r:id="rId3"/>
    <sheet name="Ing_2024_2025" sheetId="7" r:id="rId4"/>
  </sheets>
  <definedNames>
    <definedName name="_xlnm.Print_Area" localSheetId="0">Egresos_1!$A$1:$O$34</definedName>
    <definedName name="_xlnm.Print_Area" localSheetId="1">Egresos_2!$B$1:$N$44</definedName>
    <definedName name="_xlnm.Print_Area" localSheetId="2">Gto_09_10!$A$1:$W$27</definedName>
    <definedName name="_xlnm.Print_Area" localSheetId="3">Ing_2024_2025!$A$1:$V$40</definedName>
  </definedNames>
  <calcPr calcId="191029"/>
</workbook>
</file>

<file path=xl/calcChain.xml><?xml version="1.0" encoding="utf-8"?>
<calcChain xmlns="http://schemas.openxmlformats.org/spreadsheetml/2006/main">
  <c r="N29" i="7" l="1"/>
  <c r="N23" i="7"/>
  <c r="N18" i="7"/>
  <c r="K29" i="7"/>
  <c r="K26" i="7"/>
  <c r="K24" i="7"/>
  <c r="K21" i="7"/>
  <c r="H29" i="7"/>
  <c r="H24" i="7"/>
  <c r="H22" i="7"/>
  <c r="H21" i="7"/>
  <c r="H16" i="7"/>
  <c r="H15" i="7"/>
  <c r="H14" i="7"/>
  <c r="Q29" i="7"/>
  <c r="H23" i="2"/>
  <c r="M29" i="7"/>
  <c r="M23" i="7"/>
  <c r="M19" i="7"/>
  <c r="M18" i="7"/>
  <c r="J29" i="7"/>
  <c r="J24" i="7"/>
  <c r="J21" i="7"/>
  <c r="G29" i="7"/>
  <c r="G24" i="7"/>
  <c r="G21" i="7"/>
  <c r="M24" i="7"/>
  <c r="I23" i="2" l="1"/>
  <c r="I20" i="2" s="1"/>
  <c r="N12" i="8" l="1"/>
  <c r="M12" i="8"/>
  <c r="K12" i="8"/>
  <c r="G12" i="8"/>
  <c r="N11" i="8"/>
  <c r="M11" i="8"/>
  <c r="K11" i="8"/>
  <c r="G11" i="8"/>
  <c r="J30" i="8" l="1"/>
  <c r="I30" i="8"/>
  <c r="H27" i="1" l="1"/>
  <c r="G25" i="8"/>
  <c r="E18" i="8"/>
  <c r="F18" i="8"/>
  <c r="R20" i="7"/>
  <c r="F23" i="2"/>
  <c r="F20" i="2" s="1"/>
  <c r="F12" i="7"/>
  <c r="I12" i="7"/>
  <c r="L12" i="7"/>
  <c r="O12" i="7"/>
  <c r="R12" i="7"/>
  <c r="S12" i="7"/>
  <c r="V12" i="7" s="1"/>
  <c r="T12" i="7"/>
  <c r="F14" i="7"/>
  <c r="I14" i="7"/>
  <c r="L14" i="7"/>
  <c r="O14" i="7"/>
  <c r="R14" i="7"/>
  <c r="S14" i="7"/>
  <c r="V14" i="7" s="1"/>
  <c r="T14" i="7"/>
  <c r="U14" i="7" s="1"/>
  <c r="F15" i="7"/>
  <c r="I15" i="7"/>
  <c r="L15" i="7"/>
  <c r="O15" i="7"/>
  <c r="R15" i="7"/>
  <c r="S15" i="7"/>
  <c r="T15" i="7"/>
  <c r="F16" i="7"/>
  <c r="I16" i="7"/>
  <c r="L16" i="7"/>
  <c r="O16" i="7"/>
  <c r="R16" i="7"/>
  <c r="S16" i="7"/>
  <c r="V16" i="7" s="1"/>
  <c r="T16" i="7"/>
  <c r="F18" i="7"/>
  <c r="I18" i="7"/>
  <c r="L18" i="7"/>
  <c r="O18" i="7"/>
  <c r="R18" i="7"/>
  <c r="S18" i="7"/>
  <c r="T18" i="7"/>
  <c r="F19" i="7"/>
  <c r="I19" i="7"/>
  <c r="L19" i="7"/>
  <c r="O19" i="7"/>
  <c r="R19" i="7"/>
  <c r="S19" i="7"/>
  <c r="T19" i="7"/>
  <c r="F21" i="7"/>
  <c r="I21" i="7"/>
  <c r="L21" i="7"/>
  <c r="O21" i="7"/>
  <c r="R21" i="7"/>
  <c r="S21" i="7"/>
  <c r="T21" i="7"/>
  <c r="F22" i="7"/>
  <c r="I22" i="7"/>
  <c r="L22" i="7"/>
  <c r="O22" i="7"/>
  <c r="R22" i="7"/>
  <c r="S22" i="7"/>
  <c r="V22" i="7" s="1"/>
  <c r="T22" i="7"/>
  <c r="F23" i="7"/>
  <c r="I23" i="7"/>
  <c r="L23" i="7"/>
  <c r="O23" i="7"/>
  <c r="R23" i="7"/>
  <c r="S23" i="7"/>
  <c r="T23" i="7"/>
  <c r="F24" i="7"/>
  <c r="I24" i="7"/>
  <c r="L24" i="7"/>
  <c r="O24" i="7"/>
  <c r="R24" i="7"/>
  <c r="S24" i="7"/>
  <c r="T24" i="7"/>
  <c r="F26" i="7"/>
  <c r="I26" i="7"/>
  <c r="L26" i="7"/>
  <c r="O26" i="7"/>
  <c r="R26" i="7"/>
  <c r="S26" i="7"/>
  <c r="T26" i="7"/>
  <c r="F27" i="7"/>
  <c r="I27" i="7"/>
  <c r="L27" i="7"/>
  <c r="O27" i="7"/>
  <c r="R27" i="7"/>
  <c r="S27" i="7"/>
  <c r="T27" i="7"/>
  <c r="F29" i="7"/>
  <c r="I29" i="7"/>
  <c r="L29" i="7"/>
  <c r="O29" i="7"/>
  <c r="R29" i="7"/>
  <c r="S29" i="7"/>
  <c r="T29" i="7"/>
  <c r="D31" i="7"/>
  <c r="E31" i="7"/>
  <c r="G31" i="7"/>
  <c r="H31" i="7"/>
  <c r="J31" i="7"/>
  <c r="K31" i="7"/>
  <c r="M31" i="7"/>
  <c r="N31" i="7"/>
  <c r="P31" i="7"/>
  <c r="Q31" i="7"/>
  <c r="E12" i="2"/>
  <c r="F12" i="2"/>
  <c r="H12" i="2"/>
  <c r="I12" i="2"/>
  <c r="K12" i="2"/>
  <c r="L12" i="2"/>
  <c r="N12" i="2"/>
  <c r="O12" i="2"/>
  <c r="Q12" i="2"/>
  <c r="R12" i="2"/>
  <c r="W13" i="2"/>
  <c r="B14" i="2"/>
  <c r="C14" i="2"/>
  <c r="D14" i="2" s="1"/>
  <c r="G14" i="2"/>
  <c r="J14" i="2"/>
  <c r="M14" i="2"/>
  <c r="P14" i="2"/>
  <c r="S14" i="2"/>
  <c r="T14" i="2"/>
  <c r="U14" i="2"/>
  <c r="B15" i="2"/>
  <c r="C15" i="2"/>
  <c r="G15" i="2"/>
  <c r="J15" i="2"/>
  <c r="M15" i="2"/>
  <c r="P15" i="2"/>
  <c r="S15" i="2"/>
  <c r="T15" i="2"/>
  <c r="U15" i="2"/>
  <c r="B16" i="2"/>
  <c r="C16" i="2"/>
  <c r="G16" i="2"/>
  <c r="J16" i="2"/>
  <c r="M16" i="2"/>
  <c r="P16" i="2"/>
  <c r="S16" i="2"/>
  <c r="T16" i="2"/>
  <c r="U16" i="2"/>
  <c r="B17" i="2"/>
  <c r="C17" i="2"/>
  <c r="G17" i="2"/>
  <c r="J17" i="2"/>
  <c r="M17" i="2"/>
  <c r="P17" i="2"/>
  <c r="S17" i="2"/>
  <c r="T17" i="2"/>
  <c r="U17" i="2"/>
  <c r="B18" i="2"/>
  <c r="C18" i="2"/>
  <c r="D18" i="2" s="1"/>
  <c r="G18" i="2"/>
  <c r="J18" i="2"/>
  <c r="M18" i="2"/>
  <c r="P18" i="2"/>
  <c r="S18" i="2"/>
  <c r="T18" i="2"/>
  <c r="U18" i="2"/>
  <c r="W19" i="2"/>
  <c r="W21" i="2"/>
  <c r="B22" i="2"/>
  <c r="C22" i="2"/>
  <c r="G22" i="2"/>
  <c r="J22" i="2"/>
  <c r="M22" i="2"/>
  <c r="P22" i="2"/>
  <c r="S22" i="2"/>
  <c r="T22" i="2"/>
  <c r="U22" i="2"/>
  <c r="E23" i="2"/>
  <c r="E20" i="2" s="1"/>
  <c r="J23" i="2"/>
  <c r="K23" i="2"/>
  <c r="K20" i="2" s="1"/>
  <c r="L23" i="2"/>
  <c r="L20" i="2" s="1"/>
  <c r="N23" i="2"/>
  <c r="N20" i="2" s="1"/>
  <c r="O23" i="2"/>
  <c r="O20" i="2" s="1"/>
  <c r="Q23" i="2"/>
  <c r="Q20" i="2"/>
  <c r="R23" i="2"/>
  <c r="S23" i="2" s="1"/>
  <c r="B24" i="2"/>
  <c r="C24" i="2"/>
  <c r="J24" i="2"/>
  <c r="M24" i="2"/>
  <c r="P24" i="2"/>
  <c r="S24" i="2"/>
  <c r="T24" i="2"/>
  <c r="U24" i="2"/>
  <c r="B25" i="2"/>
  <c r="C25" i="2"/>
  <c r="G25" i="2"/>
  <c r="J25" i="2"/>
  <c r="M25" i="2"/>
  <c r="P25" i="2"/>
  <c r="S25" i="2"/>
  <c r="T25" i="2"/>
  <c r="U25" i="2"/>
  <c r="E9" i="8"/>
  <c r="F9" i="8"/>
  <c r="I9" i="8"/>
  <c r="J9" i="8"/>
  <c r="K9" i="8" s="1"/>
  <c r="G10" i="8"/>
  <c r="K10" i="8"/>
  <c r="M10" i="8"/>
  <c r="N10" i="8"/>
  <c r="G13" i="8"/>
  <c r="K13" i="8"/>
  <c r="M13" i="8"/>
  <c r="N13" i="8"/>
  <c r="G14" i="8"/>
  <c r="K14" i="8"/>
  <c r="M14" i="8"/>
  <c r="N14" i="8"/>
  <c r="E15" i="8"/>
  <c r="F15" i="8"/>
  <c r="I15" i="8"/>
  <c r="J15" i="8"/>
  <c r="G16" i="8"/>
  <c r="K16" i="8"/>
  <c r="M16" i="8"/>
  <c r="N16" i="8"/>
  <c r="G17" i="8"/>
  <c r="K17" i="8"/>
  <c r="M17" i="8"/>
  <c r="N17" i="8"/>
  <c r="I18" i="8"/>
  <c r="M18" i="8" s="1"/>
  <c r="J18" i="8"/>
  <c r="G19" i="8"/>
  <c r="K19" i="8"/>
  <c r="M19" i="8"/>
  <c r="N19" i="8"/>
  <c r="G20" i="8"/>
  <c r="K20" i="8"/>
  <c r="M20" i="8"/>
  <c r="N20" i="8"/>
  <c r="E21" i="8"/>
  <c r="F21" i="8"/>
  <c r="G21" i="8" s="1"/>
  <c r="I21" i="8"/>
  <c r="J21" i="8"/>
  <c r="G22" i="8"/>
  <c r="K22" i="8"/>
  <c r="M22" i="8"/>
  <c r="N22" i="8"/>
  <c r="G23" i="8"/>
  <c r="K23" i="8"/>
  <c r="M23" i="8"/>
  <c r="N23" i="8"/>
  <c r="E24" i="8"/>
  <c r="F24" i="8"/>
  <c r="I24" i="8"/>
  <c r="J24" i="8"/>
  <c r="K25" i="8"/>
  <c r="M25" i="8"/>
  <c r="N25" i="8"/>
  <c r="G26" i="8"/>
  <c r="K26" i="8"/>
  <c r="M26" i="8"/>
  <c r="N26" i="8"/>
  <c r="G27" i="8"/>
  <c r="K27" i="8"/>
  <c r="M27" i="8"/>
  <c r="N27" i="8"/>
  <c r="G28" i="8"/>
  <c r="K28" i="8"/>
  <c r="M28" i="8"/>
  <c r="N28" i="8"/>
  <c r="G29" i="8"/>
  <c r="K29" i="8"/>
  <c r="M29" i="8"/>
  <c r="N29" i="8"/>
  <c r="E30" i="8"/>
  <c r="M30" i="8" s="1"/>
  <c r="F30" i="8"/>
  <c r="N30" i="8" s="1"/>
  <c r="K30" i="8"/>
  <c r="G31" i="8"/>
  <c r="K31" i="8"/>
  <c r="M31" i="8"/>
  <c r="N31" i="8"/>
  <c r="E32" i="8"/>
  <c r="M32" i="8" s="1"/>
  <c r="F32" i="8"/>
  <c r="N32" i="8" s="1"/>
  <c r="I32" i="8"/>
  <c r="K32" i="8" s="1"/>
  <c r="J32" i="8"/>
  <c r="G33" i="8"/>
  <c r="K33" i="8"/>
  <c r="M33" i="8"/>
  <c r="N33" i="8"/>
  <c r="E34" i="8"/>
  <c r="F34" i="8"/>
  <c r="I34" i="8"/>
  <c r="J34" i="8"/>
  <c r="G35" i="8"/>
  <c r="K35" i="8"/>
  <c r="M35" i="8"/>
  <c r="N35" i="8"/>
  <c r="G36" i="8"/>
  <c r="K36" i="8"/>
  <c r="M36" i="8"/>
  <c r="N36" i="8"/>
  <c r="G37" i="8"/>
  <c r="K37" i="8"/>
  <c r="M37" i="8"/>
  <c r="N37" i="8"/>
  <c r="G38" i="8"/>
  <c r="K38" i="8"/>
  <c r="M38" i="8"/>
  <c r="N38" i="8"/>
  <c r="G39" i="8"/>
  <c r="K39" i="8"/>
  <c r="M39" i="8"/>
  <c r="N39" i="8"/>
  <c r="G40" i="8"/>
  <c r="K40" i="8"/>
  <c r="M40" i="8"/>
  <c r="N40" i="8"/>
  <c r="G41" i="8"/>
  <c r="K41" i="8"/>
  <c r="M41" i="8"/>
  <c r="N41" i="8"/>
  <c r="K42" i="8"/>
  <c r="F11" i="1"/>
  <c r="H11" i="1" s="1"/>
  <c r="G11" i="1"/>
  <c r="J11" i="1"/>
  <c r="K11" i="1"/>
  <c r="H12" i="1"/>
  <c r="L12" i="1"/>
  <c r="N12" i="1"/>
  <c r="O12" i="1"/>
  <c r="H13" i="1"/>
  <c r="L13" i="1"/>
  <c r="N13" i="1"/>
  <c r="O13" i="1"/>
  <c r="H14" i="1"/>
  <c r="L14" i="1"/>
  <c r="N14" i="1"/>
  <c r="O14" i="1"/>
  <c r="H15" i="1"/>
  <c r="L15" i="1"/>
  <c r="N15" i="1"/>
  <c r="O15" i="1"/>
  <c r="H16" i="1"/>
  <c r="L16" i="1"/>
  <c r="N16" i="1"/>
  <c r="O16" i="1"/>
  <c r="F19" i="1"/>
  <c r="G19" i="1"/>
  <c r="J19" i="1"/>
  <c r="K19" i="1"/>
  <c r="H20" i="1"/>
  <c r="L20" i="1"/>
  <c r="N20" i="1"/>
  <c r="O20" i="1"/>
  <c r="H21" i="1"/>
  <c r="L21" i="1"/>
  <c r="N21" i="1"/>
  <c r="O21" i="1"/>
  <c r="H22" i="1"/>
  <c r="L22" i="1"/>
  <c r="N22" i="1"/>
  <c r="O22" i="1"/>
  <c r="H23" i="1"/>
  <c r="L23" i="1"/>
  <c r="N23" i="1"/>
  <c r="O23" i="1"/>
  <c r="H24" i="1"/>
  <c r="L24" i="1"/>
  <c r="N24" i="1"/>
  <c r="O24" i="1"/>
  <c r="H26" i="1"/>
  <c r="L26" i="1"/>
  <c r="N26" i="1"/>
  <c r="O26" i="1"/>
  <c r="L27" i="1"/>
  <c r="N27" i="1"/>
  <c r="O27" i="1"/>
  <c r="F28" i="1"/>
  <c r="F25" i="1" s="1"/>
  <c r="G28" i="1"/>
  <c r="J28" i="1"/>
  <c r="J25" i="1" s="1"/>
  <c r="K28" i="1"/>
  <c r="K25" i="1" s="1"/>
  <c r="H29" i="1"/>
  <c r="L29" i="1"/>
  <c r="N29" i="1"/>
  <c r="O29" i="1"/>
  <c r="H30" i="1"/>
  <c r="L30" i="1"/>
  <c r="N30" i="1"/>
  <c r="O30" i="1"/>
  <c r="G24" i="2"/>
  <c r="P23" i="2"/>
  <c r="U26" i="7" l="1"/>
  <c r="V26" i="7" s="1"/>
  <c r="U15" i="7"/>
  <c r="S12" i="2"/>
  <c r="Q26" i="2"/>
  <c r="K24" i="8"/>
  <c r="K21" i="8"/>
  <c r="N18" i="8"/>
  <c r="K18" i="1"/>
  <c r="O19" i="1"/>
  <c r="L19" i="1"/>
  <c r="L11" i="1"/>
  <c r="U19" i="7"/>
  <c r="V19" i="7" s="1"/>
  <c r="U18" i="7"/>
  <c r="V18" i="7" s="1"/>
  <c r="U22" i="7"/>
  <c r="G12" i="2"/>
  <c r="G18" i="8"/>
  <c r="V15" i="7"/>
  <c r="U16" i="7"/>
  <c r="R20" i="2"/>
  <c r="S20" i="2" s="1"/>
  <c r="M23" i="2"/>
  <c r="H20" i="2"/>
  <c r="J20" i="2" s="1"/>
  <c r="M9" i="8"/>
  <c r="G32" i="8"/>
  <c r="G30" i="8"/>
  <c r="G15" i="8"/>
  <c r="D22" i="2"/>
  <c r="H19" i="1"/>
  <c r="K15" i="8"/>
  <c r="K34" i="8"/>
  <c r="O28" i="1"/>
  <c r="N11" i="1"/>
  <c r="N34" i="8"/>
  <c r="V15" i="2"/>
  <c r="W15" i="2" s="1"/>
  <c r="M15" i="8"/>
  <c r="M21" i="8"/>
  <c r="U29" i="7"/>
  <c r="V29" i="7" s="1"/>
  <c r="O31" i="7"/>
  <c r="R31" i="7"/>
  <c r="L31" i="7"/>
  <c r="U27" i="7"/>
  <c r="U21" i="7"/>
  <c r="V21" i="7" s="1"/>
  <c r="I31" i="7"/>
  <c r="F31" i="7"/>
  <c r="P12" i="2"/>
  <c r="K26" i="2"/>
  <c r="J12" i="2"/>
  <c r="M20" i="2"/>
  <c r="E26" i="2"/>
  <c r="G34" i="8"/>
  <c r="G24" i="8"/>
  <c r="N15" i="8"/>
  <c r="H28" i="1"/>
  <c r="G25" i="1"/>
  <c r="H25" i="1" s="1"/>
  <c r="B23" i="2"/>
  <c r="B20" i="2" s="1"/>
  <c r="D20" i="2" s="1"/>
  <c r="N28" i="1"/>
  <c r="B12" i="2"/>
  <c r="O11" i="1"/>
  <c r="P20" i="2"/>
  <c r="O26" i="2"/>
  <c r="V25" i="2"/>
  <c r="W25" i="2" s="1"/>
  <c r="M34" i="8"/>
  <c r="N24" i="8"/>
  <c r="I43" i="8"/>
  <c r="K18" i="8"/>
  <c r="C23" i="2"/>
  <c r="C20" i="2" s="1"/>
  <c r="N19" i="1"/>
  <c r="C12" i="2"/>
  <c r="C26" i="2" s="1"/>
  <c r="U24" i="7"/>
  <c r="V24" i="7" s="1"/>
  <c r="S31" i="7"/>
  <c r="U12" i="7"/>
  <c r="T31" i="7"/>
  <c r="V27" i="7"/>
  <c r="U23" i="7"/>
  <c r="V16" i="2"/>
  <c r="W16" i="2" s="1"/>
  <c r="N26" i="2"/>
  <c r="U12" i="2"/>
  <c r="V17" i="2"/>
  <c r="W17" i="2" s="1"/>
  <c r="V24" i="2"/>
  <c r="W24" i="2" s="1"/>
  <c r="L26" i="2"/>
  <c r="T12" i="2"/>
  <c r="M12" i="2"/>
  <c r="V18" i="2"/>
  <c r="W18" i="2" s="1"/>
  <c r="I26" i="2"/>
  <c r="U23" i="2"/>
  <c r="T23" i="2"/>
  <c r="T20" i="2" s="1"/>
  <c r="V14" i="2"/>
  <c r="W14" i="2" s="1"/>
  <c r="G20" i="2"/>
  <c r="F26" i="2"/>
  <c r="G23" i="2"/>
  <c r="V22" i="2"/>
  <c r="W22" i="2" s="1"/>
  <c r="M24" i="8"/>
  <c r="E43" i="8"/>
  <c r="N21" i="8"/>
  <c r="F43" i="8"/>
  <c r="J43" i="8"/>
  <c r="N9" i="8"/>
  <c r="G9" i="8"/>
  <c r="L25" i="1"/>
  <c r="J18" i="1"/>
  <c r="L18" i="1" s="1"/>
  <c r="D25" i="2"/>
  <c r="L28" i="1"/>
  <c r="D17" i="2"/>
  <c r="D15" i="2"/>
  <c r="D24" i="2"/>
  <c r="N25" i="1"/>
  <c r="F18" i="1"/>
  <c r="D16" i="2"/>
  <c r="R26" i="2" l="1"/>
  <c r="S26" i="2" s="1"/>
  <c r="H26" i="2"/>
  <c r="J26" i="2" s="1"/>
  <c r="U31" i="7"/>
  <c r="V31" i="7" s="1"/>
  <c r="M26" i="2"/>
  <c r="G26" i="2"/>
  <c r="O25" i="1"/>
  <c r="G18" i="1"/>
  <c r="O18" i="1" s="1"/>
  <c r="D23" i="2"/>
  <c r="B26" i="2"/>
  <c r="D26" i="2" s="1"/>
  <c r="V12" i="2"/>
  <c r="W12" i="2" s="1"/>
  <c r="P26" i="2"/>
  <c r="K43" i="8"/>
  <c r="M43" i="8"/>
  <c r="G43" i="8"/>
  <c r="D12" i="2"/>
  <c r="N18" i="1"/>
  <c r="V23" i="7"/>
  <c r="T26" i="2"/>
  <c r="V23" i="2"/>
  <c r="W23" i="2" s="1"/>
  <c r="U20" i="2"/>
  <c r="U26" i="2" s="1"/>
  <c r="N43" i="8"/>
  <c r="V26" i="2" l="1"/>
  <c r="W26" i="2" s="1"/>
  <c r="H18" i="1"/>
  <c r="V20" i="2"/>
  <c r="W20" i="2" s="1"/>
</calcChain>
</file>

<file path=xl/sharedStrings.xml><?xml version="1.0" encoding="utf-8"?>
<sst xmlns="http://schemas.openxmlformats.org/spreadsheetml/2006/main" count="193" uniqueCount="151">
  <si>
    <t>% AVANCE</t>
  </si>
  <si>
    <t>Recursos Ordinarios</t>
  </si>
  <si>
    <t>Recursos Directamente Recaudados</t>
  </si>
  <si>
    <t>Donaciones y Transferencias</t>
  </si>
  <si>
    <t>TOTALES</t>
  </si>
  <si>
    <t>GASTOS POR GRUPO GENERICO</t>
  </si>
  <si>
    <t>CONCEPTO</t>
  </si>
  <si>
    <t>FUENTE DE FINANCIAMIENTO</t>
  </si>
  <si>
    <t>PRESUPUESTO AUTORIZADO            PIM</t>
  </si>
  <si>
    <t>POR FUENTE DE FINANCIAMIENTO</t>
  </si>
  <si>
    <t>DIFERENCIAS</t>
  </si>
  <si>
    <t>PRESUPUESTO MODIFICADO VS. EJECUCION REAL</t>
  </si>
  <si>
    <t>POR CATEGORIA Y GRUPO GENERICO DE GASTO</t>
  </si>
  <si>
    <t>DIFERENCIA</t>
  </si>
  <si>
    <t>%</t>
  </si>
  <si>
    <t>GASTOS CORRIENTES</t>
  </si>
  <si>
    <t>GASTOS DE CAPITAL</t>
  </si>
  <si>
    <t>TOTAL    :</t>
  </si>
  <si>
    <t>A NIVEL DE PARTIDA GENERICA</t>
  </si>
  <si>
    <t>RECURSOS DIRECT. RECAUDADOS</t>
  </si>
  <si>
    <t>DONACIONES Y TRANFERENC</t>
  </si>
  <si>
    <t>1.5.0</t>
  </si>
  <si>
    <t>Pliego 011 : Ministerio de Salud</t>
  </si>
  <si>
    <t>PLIEGO  :   011 MINISTERIO DE SALUD</t>
  </si>
  <si>
    <t>PIM TODA FUENTE</t>
  </si>
  <si>
    <t>POR  FUENTE DE FINANCIAMIENTO</t>
  </si>
  <si>
    <t>PRESUPUESTO ANUAL</t>
  </si>
  <si>
    <t>1.3.0</t>
  </si>
  <si>
    <t>00 / 1 RECURSOS ORDINARIOS</t>
  </si>
  <si>
    <t>09 / 2 RECURSOS DIRECTAMENTE RECAUDADOS</t>
  </si>
  <si>
    <t>13 / 4 DONACIONES Y TRANSFERENCIA</t>
  </si>
  <si>
    <t>Recursos por Operaciones Oficiales de Crédito</t>
  </si>
  <si>
    <t>1.</t>
  </si>
  <si>
    <t>2.</t>
  </si>
  <si>
    <t>3.</t>
  </si>
  <si>
    <t>4.</t>
  </si>
  <si>
    <t>2.1  Personal y Obligaciones Sociales</t>
  </si>
  <si>
    <t>2.2  Pensiones y Prestaciones Sociales</t>
  </si>
  <si>
    <t>2.3  Bienes y Servicios</t>
  </si>
  <si>
    <t>2.6  Adquisición de Activos No Financieros</t>
  </si>
  <si>
    <t>VENTA DE BIENES Y SERVICIOS Y DERECHOS ADMINISTRATIVOS</t>
  </si>
  <si>
    <t>1.3.1</t>
  </si>
  <si>
    <t>1.3.2</t>
  </si>
  <si>
    <t>1.3.3</t>
  </si>
  <si>
    <t>1.4.0</t>
  </si>
  <si>
    <t>DONACIONES Y TRANSFERENCIAS</t>
  </si>
  <si>
    <t>1.4.1</t>
  </si>
  <si>
    <t>OTROS INGRESOS</t>
  </si>
  <si>
    <t>1.5.5</t>
  </si>
  <si>
    <t>1.9.0</t>
  </si>
  <si>
    <t>SALDO BALANCE</t>
  </si>
  <si>
    <t>1.9.1</t>
  </si>
  <si>
    <t>1.5.1</t>
  </si>
  <si>
    <t>1.5.2</t>
  </si>
  <si>
    <t>1.5.4</t>
  </si>
  <si>
    <t xml:space="preserve">   Inversiones</t>
  </si>
  <si>
    <t xml:space="preserve">   Equipos</t>
  </si>
  <si>
    <t xml:space="preserve">       Inversiones</t>
  </si>
  <si>
    <t xml:space="preserve">       Equipos</t>
  </si>
  <si>
    <t>PIM - TODA FUENTE</t>
  </si>
  <si>
    <t>COD 
INGR</t>
  </si>
  <si>
    <t>2.5  Otros Gastos</t>
  </si>
  <si>
    <t>Leyenda:</t>
  </si>
  <si>
    <t>GENERICA / SUBGENERICA</t>
  </si>
  <si>
    <t>PIM</t>
  </si>
  <si>
    <t>PRESUPUESTO
AUTORIZADO
PIM</t>
  </si>
  <si>
    <t>5.2.1. PERSONAL Y OBLIGACIONES SOCIALES</t>
  </si>
  <si>
    <t>5.2.2. PENSIONES Y OTRAS PRESTACIONES SOCIALES</t>
  </si>
  <si>
    <t>1. PENSIONES</t>
  </si>
  <si>
    <t>2. PRESTACIONES Y ASISTENCIA SOCIAL</t>
  </si>
  <si>
    <t>5.2.3. BIENES Y SERVICIOS</t>
  </si>
  <si>
    <t>1. COMPRA DE BIENES</t>
  </si>
  <si>
    <t>2. CONTRATACION DE SERVICIOS</t>
  </si>
  <si>
    <t>5.2.4. DONACIONES Y TRANSFERENCIAS</t>
  </si>
  <si>
    <t>1. DONACIONES Y TRANSFERENCIAS CORRIENTES</t>
  </si>
  <si>
    <t>5.2.5. OTROS GASTOS</t>
  </si>
  <si>
    <t>6.2.4. DONACIONES Y TRANSFERENCIAS</t>
  </si>
  <si>
    <t>2. DONACIONES Y TRANSFERENCIAS DE CAPITAL</t>
  </si>
  <si>
    <t>6.2.5. OTROS GASTOS</t>
  </si>
  <si>
    <t>2. DONACIONES Y TRANSFERENCIAS DE LUCRO</t>
  </si>
  <si>
    <t>6. ADQUISICION DE ACTIVOS NO FINANCIEROS</t>
  </si>
  <si>
    <t>1. ADQUISICION DE EDIFICIOS Y ESTRUCTURAS</t>
  </si>
  <si>
    <t>2. CONSTRUCCION DE EDIFICIOS Y ESTRUCTURAS</t>
  </si>
  <si>
    <t>3. ADQUISICION DE VEHICULOS, MAQUINARIAS Y OTROS</t>
  </si>
  <si>
    <t>5. ADQUISICION DE ACTIVOS NO PRODUCIDOS</t>
  </si>
  <si>
    <t>6. ADQUISICION DE OTROS ACTIVOS FIJOS</t>
  </si>
  <si>
    <t>7. INVERSIONES INTANGIBLES</t>
  </si>
  <si>
    <t>8. OTROS GASTOS DE ACTIVOS NO FINANCIEROS</t>
  </si>
  <si>
    <t>TOTALES  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</si>
  <si>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POR TODA FUENTE DE FINANCIAMIENTO</t>
  </si>
  <si>
    <t>5.</t>
  </si>
  <si>
    <t>Recursos Determinados</t>
  </si>
  <si>
    <t>1.4.2</t>
  </si>
  <si>
    <t>1.8.1</t>
  </si>
  <si>
    <t>1.8.0</t>
  </si>
  <si>
    <t xml:space="preserve">  ENDEUDAMIENTO</t>
  </si>
  <si>
    <t>RECURSOS DETERMINADOS</t>
  </si>
  <si>
    <t>2  DONACIONES Y TRANSFERENCIAS DE CAPITAL</t>
  </si>
  <si>
    <t>1.8.2</t>
  </si>
  <si>
    <t>2.4 Donaciones y Transferencias</t>
  </si>
  <si>
    <t>5  GASTOS CORRIENTES</t>
  </si>
  <si>
    <t>2.1 Personal y Obligaciones Sociales</t>
  </si>
  <si>
    <t>2.2 Pensiones y Prestaciones Sociales</t>
  </si>
  <si>
    <t>2.3 Bienes y Servicios</t>
  </si>
  <si>
    <t>6  GASTOS DE CAPITAL</t>
  </si>
  <si>
    <t>2.6 Adquisición de Activos No Financieros</t>
  </si>
  <si>
    <t>% 
AVANCE</t>
  </si>
  <si>
    <t>(En Soles)</t>
  </si>
  <si>
    <t>(EN SOLES)</t>
  </si>
  <si>
    <t>2.5 Otros Gastos</t>
  </si>
  <si>
    <t>OP. OF. CREDITO EXTERNO</t>
  </si>
  <si>
    <t xml:space="preserve">Venta de Bienes </t>
  </si>
  <si>
    <t>Derechos y Tasas Administrativos</t>
  </si>
  <si>
    <t>Venta de Servicios</t>
  </si>
  <si>
    <t>Donaciones y Transferencias Corrientes</t>
  </si>
  <si>
    <t xml:space="preserve"> Donaciones de Capital</t>
  </si>
  <si>
    <t>Rentas de la Propiedad</t>
  </si>
  <si>
    <t>Multas y Sanciones No Tributarias</t>
  </si>
  <si>
    <t>Transferencias Voluntarias Distinta a Donaciones</t>
  </si>
  <si>
    <t>Ingresos Diversos</t>
  </si>
  <si>
    <t>Endeudamiento Externo</t>
  </si>
  <si>
    <t>Endeudamiento Interno</t>
  </si>
  <si>
    <t>Saldo de Balance</t>
  </si>
  <si>
    <t>1.1.5</t>
  </si>
  <si>
    <t>Otros Ingresos Impositivos</t>
  </si>
  <si>
    <t>GENERICA DE GASTO</t>
  </si>
  <si>
    <t xml:space="preserve"> </t>
  </si>
  <si>
    <t>19 / 3 OPERACIONES OFICIALES CREDITO EXTERNO</t>
  </si>
  <si>
    <t>DENOMINACION 
INGRESO</t>
  </si>
  <si>
    <t>5 RECURSOS DETERMINADOS</t>
  </si>
  <si>
    <t>AÑO FISCAL 2024</t>
  </si>
  <si>
    <t>EJECUCION
III TRIMESTRE
 /*</t>
  </si>
  <si>
    <t>EJECUCION AL
III TRIMESTRE (*)</t>
  </si>
  <si>
    <t>EJECUCION III TRIMESTRE (*)</t>
  </si>
  <si>
    <r>
      <rPr>
        <b/>
        <sz val="8"/>
        <rFont val="Arial"/>
        <family val="2"/>
      </rPr>
      <t>(/*)</t>
    </r>
    <r>
      <rPr>
        <sz val="8"/>
        <rFont val="Arial"/>
        <family val="2"/>
      </rPr>
      <t xml:space="preserve">     La Ejecución Presupuestal al III Trimestre se encuentra a Nivel de Devengados</t>
    </r>
  </si>
  <si>
    <t>EJECUCION III TRIMESTRE</t>
  </si>
  <si>
    <t>1.RETRIBUCIONES Y COMPLEMENTOS EN EFECTIVO</t>
  </si>
  <si>
    <t>2.OTRAS RETRIBUCIONES</t>
  </si>
  <si>
    <t>3.CONTRIBUCIONES A LA SEGURIDAD SOCIAL</t>
  </si>
  <si>
    <t>4.RETRIBUCIONES Y COMPLEMENTOS EN EFECTIVO VARIABLES</t>
  </si>
  <si>
    <t>5.PAGO DE SENTENCIAS JUDICIALES EN CALIDAD DE COSA JUZGADA Y LAUDOS ARBITRA2LES DEFINITIVOS POR ADEUDOS</t>
  </si>
  <si>
    <t>1.SUBSIDIOS</t>
  </si>
  <si>
    <t>2.TRANSFERENCIAS A INSTITUCIONES SIN FINES DE LUCRO</t>
  </si>
  <si>
    <t>4.PAGO DE IMPUESTOS,  DERECHOS ADMINISTRATIVOS Y MULTAS GUBERNAMENTALES</t>
  </si>
  <si>
    <t>5.PAGO DE SENTENCIAS JUDICIALES, LAUDOS ARBITRALES Y SIMILARES</t>
  </si>
  <si>
    <t>6.GASTOS POR IMPLEMENTACIÓN DE LA NEGOCIACIÓN COLECTIVA</t>
  </si>
  <si>
    <t>PRESUPUESTO DE EGRESOS COMPARATIVO AL III TRIMESTRE AÑO FISCAL 2024 - 2025</t>
  </si>
  <si>
    <t>AÑO FISCAL 2025</t>
  </si>
  <si>
    <t>Fuente : Consulta Amigable: Base de Datos MEF, al 30 de setiembre del 2025</t>
  </si>
  <si>
    <t>RESULTADOS OPERATIVOS COMPARATIVOS AL III TRIMESTRE AÑOS FISCALES 2024 - 2025</t>
  </si>
  <si>
    <t>INGRESOS COMPARATIVOS AL III TRIMESTRE AÑO FISCAL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</si>
</sst>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_ ;\-#,##0\ "/>
    <numFmt numFmtId="167" formatCode="#,##0;[Red]\(#,##0\)"/>
    <numFmt numFmtId="168" formatCode="_ * #,##0_)\ &quot;Pts&quot;_ ;_ * \(#,##0\)\ &quot;Pts&quot;_ ;_ * &quot;-&quot;_)\ &quot;Pts&quot;_ ;_ @_ "/>
    <numFmt numFmtId="169" formatCode="0.0%"/>
    <numFmt numFmtId="170" formatCode="_([$€-2]\ * #,##0.00_);_([$€-2]\ * \(#,##0.00\);_([$€-2]\ * &quot;-&quot;??_)"/>
    <numFmt numFmtId="171" formatCode="_ * #,##0_ ;_ * \-#,##0_ ;_ * &quot;-&quot;??_ ;_ @_ "/>
  </numFmts>
  <fonts count="31" x14ac:knownFonts="1">
    <font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6"/>
      <color indexed="8"/>
      <name val="Arial"/>
      <family val="2"/>
    </font>
    <font>
      <b/>
      <i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0"/>
      <name val="Times New Roman"/>
      <family val="1"/>
    </font>
    <font>
      <b/>
      <i/>
      <sz val="10"/>
      <name val="Bookman Old Style"/>
      <family val="1"/>
    </font>
    <font>
      <b/>
      <i/>
      <sz val="8"/>
      <color indexed="8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5" fillId="0" borderId="0" xfId="0" applyFont="1"/>
    <xf numFmtId="37" fontId="5" fillId="0" borderId="0" xfId="0" applyNumberFormat="1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quotePrefix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5" fillId="0" borderId="0" xfId="0" applyFont="1" applyAlignment="1">
      <alignment horizontal="centerContinuous"/>
    </xf>
    <xf numFmtId="37" fontId="16" fillId="0" borderId="0" xfId="0" applyNumberFormat="1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1" xfId="3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6" fillId="0" borderId="0" xfId="3" applyNumberFormat="1" applyFont="1" applyFill="1" applyBorder="1" applyAlignment="1">
      <alignment vertical="center"/>
    </xf>
    <xf numFmtId="10" fontId="6" fillId="0" borderId="2" xfId="4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16" fillId="0" borderId="0" xfId="0" applyNumberFormat="1" applyFont="1"/>
    <xf numFmtId="167" fontId="5" fillId="0" borderId="0" xfId="3" applyNumberFormat="1" applyFont="1" applyFill="1" applyBorder="1"/>
    <xf numFmtId="0" fontId="22" fillId="0" borderId="0" xfId="0" applyFont="1"/>
    <xf numFmtId="41" fontId="6" fillId="0" borderId="0" xfId="3" applyNumberFormat="1" applyFont="1" applyFill="1" applyBorder="1" applyAlignment="1">
      <alignment vertical="center" wrapText="1"/>
    </xf>
    <xf numFmtId="41" fontId="5" fillId="0" borderId="2" xfId="3" applyNumberFormat="1" applyFont="1" applyFill="1" applyBorder="1" applyAlignment="1">
      <alignment vertical="center" wrapText="1"/>
    </xf>
    <xf numFmtId="41" fontId="5" fillId="0" borderId="0" xfId="3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5" fillId="0" borderId="5" xfId="3" applyNumberFormat="1" applyFont="1" applyFill="1" applyBorder="1" applyAlignment="1">
      <alignment vertical="center"/>
    </xf>
    <xf numFmtId="41" fontId="6" fillId="0" borderId="5" xfId="3" applyNumberFormat="1" applyFont="1" applyFill="1" applyBorder="1" applyAlignment="1">
      <alignment vertical="center" wrapText="1"/>
    </xf>
    <xf numFmtId="49" fontId="6" fillId="0" borderId="0" xfId="3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3" fontId="24" fillId="0" borderId="7" xfId="0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/>
    <xf numFmtId="0" fontId="5" fillId="0" borderId="1" xfId="0" applyFont="1" applyBorder="1"/>
    <xf numFmtId="167" fontId="5" fillId="0" borderId="2" xfId="3" applyNumberFormat="1" applyFont="1" applyFill="1" applyBorder="1"/>
    <xf numFmtId="164" fontId="5" fillId="0" borderId="6" xfId="3" applyNumberFormat="1" applyFont="1" applyFill="1" applyBorder="1" applyAlignment="1">
      <alignment vertical="center"/>
    </xf>
    <xf numFmtId="164" fontId="5" fillId="0" borderId="8" xfId="3" applyNumberFormat="1" applyFont="1" applyFill="1" applyBorder="1" applyAlignment="1">
      <alignment vertical="center"/>
    </xf>
    <xf numFmtId="164" fontId="5" fillId="0" borderId="8" xfId="3" applyNumberFormat="1" applyFont="1" applyFill="1" applyBorder="1" applyAlignment="1">
      <alignment horizontal="right" vertical="center"/>
    </xf>
    <xf numFmtId="164" fontId="6" fillId="0" borderId="6" xfId="3" applyNumberFormat="1" applyFont="1" applyFill="1" applyBorder="1" applyAlignment="1">
      <alignment vertical="center"/>
    </xf>
    <xf numFmtId="164" fontId="6" fillId="0" borderId="8" xfId="3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39" fontId="14" fillId="0" borderId="6" xfId="0" applyNumberFormat="1" applyFont="1" applyBorder="1" applyAlignment="1">
      <alignment vertical="center"/>
    </xf>
    <xf numFmtId="39" fontId="14" fillId="0" borderId="3" xfId="0" applyNumberFormat="1" applyFont="1" applyBorder="1" applyAlignment="1">
      <alignment vertical="center"/>
    </xf>
    <xf numFmtId="39" fontId="14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169" fontId="2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6" fillId="0" borderId="8" xfId="0" applyFont="1" applyBorder="1" applyAlignment="1">
      <alignment horizontal="left" vertical="center"/>
    </xf>
    <xf numFmtId="169" fontId="26" fillId="0" borderId="10" xfId="4" applyNumberFormat="1" applyFont="1" applyBorder="1" applyAlignment="1">
      <alignment horizontal="center" vertical="center"/>
    </xf>
    <xf numFmtId="169" fontId="26" fillId="0" borderId="11" xfId="4" applyNumberFormat="1" applyFont="1" applyBorder="1" applyAlignment="1">
      <alignment horizontal="center" vertical="center"/>
    </xf>
    <xf numFmtId="169" fontId="26" fillId="0" borderId="12" xfId="4" applyNumberFormat="1" applyFont="1" applyBorder="1" applyAlignment="1">
      <alignment horizontal="center" vertical="center"/>
    </xf>
    <xf numFmtId="169" fontId="26" fillId="0" borderId="13" xfId="4" applyNumberFormat="1" applyFont="1" applyBorder="1" applyAlignment="1">
      <alignment horizontal="center" vertical="center"/>
    </xf>
    <xf numFmtId="169" fontId="26" fillId="0" borderId="14" xfId="4" applyNumberFormat="1" applyFont="1" applyBorder="1" applyAlignment="1">
      <alignment horizontal="center" vertical="center"/>
    </xf>
    <xf numFmtId="169" fontId="26" fillId="0" borderId="8" xfId="4" applyNumberFormat="1" applyFont="1" applyBorder="1" applyAlignment="1">
      <alignment horizontal="center" vertical="center"/>
    </xf>
    <xf numFmtId="10" fontId="5" fillId="0" borderId="8" xfId="4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5" fillId="0" borderId="15" xfId="4" applyNumberFormat="1" applyFont="1" applyBorder="1" applyAlignment="1">
      <alignment horizontal="center" vertical="center"/>
    </xf>
    <xf numFmtId="39" fontId="8" fillId="0" borderId="0" xfId="0" applyNumberFormat="1" applyFont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37" fontId="6" fillId="0" borderId="0" xfId="0" applyNumberFormat="1" applyFont="1"/>
    <xf numFmtId="0" fontId="29" fillId="0" borderId="0" xfId="0" applyFont="1"/>
    <xf numFmtId="0" fontId="6" fillId="0" borderId="0" xfId="0" applyFont="1" applyAlignment="1">
      <alignment horizontal="centerContinuous"/>
    </xf>
    <xf numFmtId="167" fontId="6" fillId="0" borderId="5" xfId="3" applyNumberFormat="1" applyFont="1" applyFill="1" applyBorder="1"/>
    <xf numFmtId="3" fontId="5" fillId="0" borderId="0" xfId="0" applyNumberFormat="1" applyFont="1"/>
    <xf numFmtId="0" fontId="26" fillId="0" borderId="16" xfId="0" applyFont="1" applyBorder="1" applyAlignment="1">
      <alignment horizontal="left" vertical="center" indent="3"/>
    </xf>
    <xf numFmtId="0" fontId="26" fillId="0" borderId="17" xfId="0" applyFont="1" applyBorder="1" applyAlignment="1">
      <alignment horizontal="left" vertical="center" indent="3"/>
    </xf>
    <xf numFmtId="0" fontId="14" fillId="0" borderId="6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71" fontId="16" fillId="0" borderId="0" xfId="2" applyNumberFormat="1" applyFont="1"/>
    <xf numFmtId="9" fontId="6" fillId="0" borderId="2" xfId="4" applyFont="1" applyFill="1" applyBorder="1" applyAlignment="1">
      <alignment vertical="center"/>
    </xf>
    <xf numFmtId="9" fontId="6" fillId="0" borderId="2" xfId="3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0" fillId="0" borderId="18" xfId="0" applyFont="1" applyBorder="1" applyAlignment="1">
      <alignment horizontal="left" vertical="center" indent="1"/>
    </xf>
    <xf numFmtId="3" fontId="24" fillId="3" borderId="19" xfId="0" applyNumberFormat="1" applyFont="1" applyFill="1" applyBorder="1" applyAlignment="1">
      <alignment horizontal="center" vertical="center"/>
    </xf>
    <xf numFmtId="3" fontId="24" fillId="3" borderId="19" xfId="0" applyNumberFormat="1" applyFont="1" applyFill="1" applyBorder="1" applyAlignment="1">
      <alignment horizontal="center" vertical="center" wrapText="1"/>
    </xf>
    <xf numFmtId="10" fontId="6" fillId="2" borderId="19" xfId="4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10" fontId="23" fillId="2" borderId="19" xfId="4" applyNumberFormat="1" applyFont="1" applyFill="1" applyBorder="1" applyAlignment="1">
      <alignment horizontal="center" vertical="center"/>
    </xf>
    <xf numFmtId="169" fontId="24" fillId="2" borderId="19" xfId="4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39" fontId="13" fillId="3" borderId="21" xfId="0" applyNumberFormat="1" applyFont="1" applyFill="1" applyBorder="1" applyAlignment="1">
      <alignment horizontal="center" vertical="center"/>
    </xf>
    <xf numFmtId="10" fontId="13" fillId="3" borderId="22" xfId="0" applyNumberFormat="1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164" fontId="5" fillId="0" borderId="6" xfId="3" applyNumberFormat="1" applyFont="1" applyFill="1" applyBorder="1"/>
    <xf numFmtId="164" fontId="5" fillId="0" borderId="8" xfId="3" applyNumberFormat="1" applyFont="1" applyFill="1" applyBorder="1"/>
    <xf numFmtId="164" fontId="6" fillId="0" borderId="2" xfId="3" applyNumberFormat="1" applyFont="1" applyFill="1" applyBorder="1"/>
    <xf numFmtId="164" fontId="5" fillId="0" borderId="0" xfId="3" applyNumberFormat="1" applyFont="1" applyFill="1" applyBorder="1"/>
    <xf numFmtId="164" fontId="6" fillId="0" borderId="0" xfId="3" applyNumberFormat="1" applyFont="1" applyFill="1" applyBorder="1"/>
    <xf numFmtId="164" fontId="5" fillId="0" borderId="1" xfId="3" applyNumberFormat="1" applyFont="1" applyFill="1" applyBorder="1"/>
    <xf numFmtId="164" fontId="6" fillId="0" borderId="5" xfId="3" applyNumberFormat="1" applyFont="1" applyFill="1" applyBorder="1" applyAlignment="1">
      <alignment vertical="center"/>
    </xf>
    <xf numFmtId="164" fontId="6" fillId="0" borderId="2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164" fontId="6" fillId="3" borderId="28" xfId="3" applyNumberFormat="1" applyFont="1" applyFill="1" applyBorder="1" applyAlignment="1">
      <alignment vertical="center"/>
    </xf>
    <xf numFmtId="164" fontId="6" fillId="3" borderId="25" xfId="3" applyNumberFormat="1" applyFont="1" applyFill="1" applyBorder="1" applyAlignment="1">
      <alignment vertical="center"/>
    </xf>
    <xf numFmtId="164" fontId="6" fillId="3" borderId="27" xfId="3" applyNumberFormat="1" applyFont="1" applyFill="1" applyBorder="1" applyAlignment="1">
      <alignment vertical="center"/>
    </xf>
    <xf numFmtId="164" fontId="6" fillId="3" borderId="29" xfId="3" applyNumberFormat="1" applyFont="1" applyFill="1" applyBorder="1" applyAlignment="1">
      <alignment vertical="center"/>
    </xf>
    <xf numFmtId="9" fontId="6" fillId="3" borderId="27" xfId="4" applyFont="1" applyFill="1" applyBorder="1" applyAlignment="1">
      <alignment vertical="center"/>
    </xf>
    <xf numFmtId="164" fontId="5" fillId="0" borderId="0" xfId="0" applyNumberFormat="1" applyFont="1"/>
    <xf numFmtId="41" fontId="5" fillId="0" borderId="8" xfId="0" applyNumberFormat="1" applyFont="1" applyBorder="1" applyAlignment="1">
      <alignment vertical="center"/>
    </xf>
    <xf numFmtId="41" fontId="6" fillId="2" borderId="19" xfId="0" applyNumberFormat="1" applyFont="1" applyFill="1" applyBorder="1" applyAlignment="1">
      <alignment vertical="center"/>
    </xf>
    <xf numFmtId="41" fontId="23" fillId="2" borderId="19" xfId="0" applyNumberFormat="1" applyFont="1" applyFill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21" fillId="0" borderId="8" xfId="0" applyNumberFormat="1" applyFont="1" applyBorder="1" applyAlignment="1">
      <alignment vertical="center"/>
    </xf>
    <xf numFmtId="41" fontId="24" fillId="2" borderId="19" xfId="0" applyNumberFormat="1" applyFont="1" applyFill="1" applyBorder="1" applyAlignment="1">
      <alignment horizontal="right" vertical="center"/>
    </xf>
    <xf numFmtId="41" fontId="26" fillId="0" borderId="10" xfId="0" applyNumberFormat="1" applyFont="1" applyBorder="1" applyAlignment="1">
      <alignment vertical="center"/>
    </xf>
    <xf numFmtId="41" fontId="26" fillId="0" borderId="11" xfId="0" applyNumberFormat="1" applyFont="1" applyBorder="1" applyAlignment="1">
      <alignment vertical="center"/>
    </xf>
    <xf numFmtId="41" fontId="24" fillId="2" borderId="19" xfId="0" applyNumberFormat="1" applyFont="1" applyFill="1" applyBorder="1" applyAlignment="1">
      <alignment vertical="center"/>
    </xf>
    <xf numFmtId="41" fontId="26" fillId="0" borderId="12" xfId="0" applyNumberFormat="1" applyFont="1" applyBorder="1" applyAlignment="1">
      <alignment vertical="center"/>
    </xf>
    <xf numFmtId="41" fontId="26" fillId="0" borderId="13" xfId="0" applyNumberFormat="1" applyFont="1" applyBorder="1" applyAlignment="1">
      <alignment vertical="center"/>
    </xf>
    <xf numFmtId="41" fontId="26" fillId="0" borderId="14" xfId="0" applyNumberFormat="1" applyFont="1" applyBorder="1" applyAlignment="1">
      <alignment vertical="center"/>
    </xf>
    <xf numFmtId="41" fontId="26" fillId="0" borderId="8" xfId="0" applyNumberFormat="1" applyFont="1" applyBorder="1" applyAlignment="1">
      <alignment vertical="center"/>
    </xf>
    <xf numFmtId="41" fontId="26" fillId="0" borderId="0" xfId="0" applyNumberFormat="1" applyFont="1" applyAlignment="1">
      <alignment vertical="center"/>
    </xf>
    <xf numFmtId="41" fontId="13" fillId="2" borderId="6" xfId="0" applyNumberFormat="1" applyFont="1" applyFill="1" applyBorder="1" applyAlignment="1">
      <alignment vertical="center"/>
    </xf>
    <xf numFmtId="41" fontId="13" fillId="2" borderId="3" xfId="0" applyNumberFormat="1" applyFont="1" applyFill="1" applyBorder="1" applyAlignment="1">
      <alignment vertical="center"/>
    </xf>
    <xf numFmtId="41" fontId="13" fillId="2" borderId="2" xfId="0" applyNumberFormat="1" applyFont="1" applyFill="1" applyBorder="1" applyAlignment="1">
      <alignment vertical="center"/>
    </xf>
    <xf numFmtId="41" fontId="13" fillId="2" borderId="8" xfId="0" applyNumberFormat="1" applyFont="1" applyFill="1" applyBorder="1" applyAlignment="1">
      <alignment vertical="center"/>
    </xf>
    <xf numFmtId="41" fontId="13" fillId="2" borderId="5" xfId="0" applyNumberFormat="1" applyFont="1" applyFill="1" applyBorder="1" applyAlignment="1">
      <alignment vertical="center"/>
    </xf>
    <xf numFmtId="41" fontId="14" fillId="0" borderId="6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41" fontId="13" fillId="0" borderId="3" xfId="0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 wrapText="1"/>
    </xf>
    <xf numFmtId="41" fontId="14" fillId="0" borderId="3" xfId="0" applyNumberFormat="1" applyFont="1" applyBorder="1" applyAlignment="1">
      <alignment vertical="center" wrapText="1"/>
    </xf>
    <xf numFmtId="41" fontId="13" fillId="3" borderId="23" xfId="0" applyNumberFormat="1" applyFont="1" applyFill="1" applyBorder="1" applyAlignment="1">
      <alignment vertical="center"/>
    </xf>
    <xf numFmtId="41" fontId="13" fillId="3" borderId="22" xfId="0" applyNumberFormat="1" applyFont="1" applyFill="1" applyBorder="1" applyAlignment="1">
      <alignment vertical="center"/>
    </xf>
    <xf numFmtId="41" fontId="13" fillId="3" borderId="30" xfId="0" applyNumberFormat="1" applyFont="1" applyFill="1" applyBorder="1" applyAlignment="1">
      <alignment vertical="center"/>
    </xf>
    <xf numFmtId="41" fontId="13" fillId="3" borderId="31" xfId="0" applyNumberFormat="1" applyFont="1" applyFill="1" applyBorder="1" applyAlignment="1">
      <alignment vertical="center"/>
    </xf>
    <xf numFmtId="41" fontId="13" fillId="3" borderId="32" xfId="0" applyNumberFormat="1" applyFont="1" applyFill="1" applyBorder="1" applyAlignment="1">
      <alignment vertical="center"/>
    </xf>
    <xf numFmtId="171" fontId="5" fillId="0" borderId="0" xfId="2" applyNumberFormat="1" applyFont="1" applyAlignment="1">
      <alignment vertical="center"/>
    </xf>
    <xf numFmtId="9" fontId="16" fillId="0" borderId="0" xfId="4" applyFont="1"/>
    <xf numFmtId="43" fontId="8" fillId="0" borderId="0" xfId="0" applyNumberFormat="1" applyFont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7" fontId="3" fillId="3" borderId="33" xfId="0" applyNumberFormat="1" applyFont="1" applyFill="1" applyBorder="1" applyAlignment="1">
      <alignment horizontal="center" vertical="center"/>
    </xf>
    <xf numFmtId="37" fontId="3" fillId="3" borderId="34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37" fontId="3" fillId="3" borderId="35" xfId="0" applyNumberFormat="1" applyFont="1" applyFill="1" applyBorder="1" applyAlignment="1">
      <alignment horizontal="center" vertical="center"/>
    </xf>
    <xf numFmtId="0" fontId="26" fillId="0" borderId="45" xfId="0" applyFont="1" applyBorder="1" applyAlignment="1">
      <alignment horizontal="left" vertical="center" indent="3"/>
    </xf>
    <xf numFmtId="0" fontId="26" fillId="0" borderId="46" xfId="0" applyFont="1" applyBorder="1" applyAlignment="1">
      <alignment horizontal="left" vertical="center" indent="3"/>
    </xf>
    <xf numFmtId="0" fontId="26" fillId="0" borderId="16" xfId="0" applyFont="1" applyBorder="1" applyAlignment="1">
      <alignment horizontal="left" vertical="center" indent="3"/>
    </xf>
    <xf numFmtId="0" fontId="26" fillId="0" borderId="17" xfId="0" applyFont="1" applyBorder="1" applyAlignment="1">
      <alignment horizontal="left" vertical="center" indent="3"/>
    </xf>
    <xf numFmtId="0" fontId="26" fillId="0" borderId="10" xfId="0" applyFont="1" applyBorder="1" applyAlignment="1">
      <alignment horizontal="left" vertical="center" indent="3"/>
    </xf>
    <xf numFmtId="0" fontId="26" fillId="0" borderId="12" xfId="0" applyFont="1" applyBorder="1" applyAlignment="1">
      <alignment horizontal="left" vertical="center" indent="3"/>
    </xf>
    <xf numFmtId="3" fontId="25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4" fillId="2" borderId="19" xfId="0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 indent="3"/>
    </xf>
    <xf numFmtId="0" fontId="26" fillId="0" borderId="14" xfId="0" applyFont="1" applyBorder="1" applyAlignment="1">
      <alignment horizontal="left" vertical="center" indent="3"/>
    </xf>
    <xf numFmtId="3" fontId="24" fillId="3" borderId="36" xfId="0" applyNumberFormat="1" applyFont="1" applyFill="1" applyBorder="1" applyAlignment="1">
      <alignment horizontal="center" vertical="center"/>
    </xf>
    <xf numFmtId="3" fontId="24" fillId="3" borderId="37" xfId="0" applyNumberFormat="1" applyFont="1" applyFill="1" applyBorder="1" applyAlignment="1">
      <alignment horizontal="center" vertical="center"/>
    </xf>
    <xf numFmtId="3" fontId="24" fillId="3" borderId="4" xfId="0" applyNumberFormat="1" applyFont="1" applyFill="1" applyBorder="1" applyAlignment="1">
      <alignment horizontal="center" vertical="center"/>
    </xf>
    <xf numFmtId="3" fontId="24" fillId="3" borderId="18" xfId="0" applyNumberFormat="1" applyFont="1" applyFill="1" applyBorder="1" applyAlignment="1">
      <alignment horizontal="center" vertical="center"/>
    </xf>
    <xf numFmtId="0" fontId="26" fillId="0" borderId="47" xfId="0" applyFont="1" applyBorder="1" applyAlignment="1">
      <alignment horizontal="left" vertical="center" indent="3"/>
    </xf>
    <xf numFmtId="0" fontId="26" fillId="0" borderId="48" xfId="0" applyFont="1" applyBorder="1" applyAlignment="1">
      <alignment horizontal="left" vertical="center" indent="3"/>
    </xf>
    <xf numFmtId="3" fontId="24" fillId="2" borderId="19" xfId="0" applyNumberFormat="1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 indent="3"/>
    </xf>
    <xf numFmtId="0" fontId="26" fillId="0" borderId="11" xfId="0" applyFont="1" applyBorder="1" applyAlignment="1">
      <alignment horizontal="left" vertical="center" indent="3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</cellXfs>
  <cellStyles count="6">
    <cellStyle name="Euro" xfId="1" xr:uid="{00000000-0005-0000-0000-000000000000}"/>
    <cellStyle name="Millares" xfId="2" builtinId="3"/>
    <cellStyle name="Moneda [0]_Presupuesto Sectorial 98" xfId="3" xr:uid="{00000000-0005-0000-0000-000002000000}"/>
    <cellStyle name="Normal" xfId="0" builtinId="0"/>
    <cellStyle name="Normal 2" xfId="5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6"/>
  <sheetViews>
    <sheetView showGridLines="0" showZeros="0" tabSelected="1" zoomScale="160" zoomScaleNormal="160" workbookViewId="0">
      <selection activeCell="K22" sqref="K22"/>
    </sheetView>
  </sheetViews>
  <sheetFormatPr baseColWidth="10" defaultRowHeight="12.75" x14ac:dyDescent="0.2"/>
  <cols>
    <col min="1" max="1" width="1.140625" style="60" customWidth="1"/>
    <col min="2" max="2" width="2.28515625" style="60" customWidth="1"/>
    <col min="3" max="3" width="4.140625" style="60" customWidth="1"/>
    <col min="4" max="4" width="37.85546875" style="60" customWidth="1"/>
    <col min="5" max="5" width="0.85546875" style="60" customWidth="1"/>
    <col min="6" max="7" width="13.7109375" style="60" customWidth="1"/>
    <col min="8" max="8" width="10.7109375" style="60" customWidth="1"/>
    <col min="9" max="9" width="0.85546875" style="60" customWidth="1"/>
    <col min="10" max="11" width="13.7109375" style="60" customWidth="1"/>
    <col min="12" max="12" width="10.7109375" style="60" customWidth="1"/>
    <col min="13" max="13" width="0.85546875" style="60" customWidth="1"/>
    <col min="14" max="15" width="12.7109375" style="60" customWidth="1"/>
    <col min="16" max="16384" width="11.42578125" style="60"/>
  </cols>
  <sheetData>
    <row r="1" spans="3:18" ht="14.25" x14ac:dyDescent="0.2">
      <c r="C1" s="179" t="s">
        <v>146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3:18" x14ac:dyDescent="0.2">
      <c r="C2" s="180" t="s">
        <v>9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3:18" x14ac:dyDescent="0.2">
      <c r="C3" s="180" t="s">
        <v>107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5" spans="3:18" x14ac:dyDescent="0.2">
      <c r="C5" s="61" t="s">
        <v>22</v>
      </c>
      <c r="D5" s="4"/>
      <c r="E5" s="4"/>
      <c r="F5" s="5"/>
      <c r="G5" s="5"/>
      <c r="H5" s="4"/>
      <c r="I5" s="4"/>
      <c r="J5" s="5"/>
      <c r="K5" s="5"/>
      <c r="L5" s="4"/>
      <c r="M5" s="4"/>
      <c r="N5" s="4"/>
      <c r="O5" s="4"/>
    </row>
    <row r="6" spans="3:18" ht="12.75" customHeight="1" x14ac:dyDescent="0.2">
      <c r="C6" s="181" t="s">
        <v>6</v>
      </c>
      <c r="D6" s="185"/>
      <c r="E6" s="13"/>
      <c r="F6" s="183" t="s">
        <v>130</v>
      </c>
      <c r="G6" s="186"/>
      <c r="H6" s="184"/>
      <c r="I6" s="62"/>
      <c r="J6" s="183" t="s">
        <v>147</v>
      </c>
      <c r="K6" s="186"/>
      <c r="L6" s="184"/>
      <c r="M6" s="62"/>
      <c r="N6" s="183" t="s">
        <v>10</v>
      </c>
      <c r="O6" s="184"/>
    </row>
    <row r="7" spans="3:18" ht="12.75" customHeight="1" x14ac:dyDescent="0.2">
      <c r="C7" s="185"/>
      <c r="D7" s="185"/>
      <c r="E7" s="13"/>
      <c r="F7" s="181" t="s">
        <v>8</v>
      </c>
      <c r="G7" s="181" t="s">
        <v>131</v>
      </c>
      <c r="H7" s="181" t="s">
        <v>106</v>
      </c>
      <c r="I7" s="4"/>
      <c r="J7" s="181" t="s">
        <v>8</v>
      </c>
      <c r="K7" s="181" t="s">
        <v>131</v>
      </c>
      <c r="L7" s="181" t="s">
        <v>106</v>
      </c>
      <c r="M7" s="4"/>
      <c r="N7" s="181" t="s">
        <v>8</v>
      </c>
      <c r="O7" s="181" t="s">
        <v>131</v>
      </c>
    </row>
    <row r="8" spans="3:18" x14ac:dyDescent="0.2">
      <c r="C8" s="185"/>
      <c r="D8" s="185"/>
      <c r="E8" s="13"/>
      <c r="F8" s="182"/>
      <c r="G8" s="182"/>
      <c r="H8" s="182"/>
      <c r="I8" s="4"/>
      <c r="J8" s="182"/>
      <c r="K8" s="182"/>
      <c r="L8" s="182"/>
      <c r="M8" s="4"/>
      <c r="N8" s="182"/>
      <c r="O8" s="182"/>
    </row>
    <row r="9" spans="3:18" x14ac:dyDescent="0.2">
      <c r="C9" s="185"/>
      <c r="D9" s="185"/>
      <c r="E9" s="13"/>
      <c r="F9" s="182"/>
      <c r="G9" s="182"/>
      <c r="H9" s="182"/>
      <c r="I9" s="4"/>
      <c r="J9" s="182"/>
      <c r="K9" s="182"/>
      <c r="L9" s="182"/>
      <c r="M9" s="4"/>
      <c r="N9" s="182"/>
      <c r="O9" s="182"/>
    </row>
    <row r="10" spans="3:18" ht="5.0999999999999996" customHeight="1" x14ac:dyDescent="0.2">
      <c r="C10" s="63"/>
      <c r="D10" s="64"/>
      <c r="E10" s="4"/>
      <c r="F10" s="65"/>
      <c r="G10" s="65"/>
      <c r="H10" s="65"/>
      <c r="I10" s="4"/>
      <c r="J10" s="65"/>
      <c r="K10" s="65"/>
      <c r="L10" s="65"/>
      <c r="M10" s="4"/>
      <c r="N10" s="65"/>
      <c r="O10" s="65"/>
    </row>
    <row r="11" spans="3:18" x14ac:dyDescent="0.2">
      <c r="C11" s="177" t="s">
        <v>7</v>
      </c>
      <c r="D11" s="178"/>
      <c r="E11" s="14"/>
      <c r="F11" s="145">
        <f>SUM(F12:F16)</f>
        <v>10137971200</v>
      </c>
      <c r="G11" s="145">
        <f>SUM(G12:G16)</f>
        <v>4449820571.6900177</v>
      </c>
      <c r="H11" s="113">
        <f t="shared" ref="H11:H16" si="0">IF(F11=0," ",G11/F11)</f>
        <v>0.43892614053687762</v>
      </c>
      <c r="I11" s="4"/>
      <c r="J11" s="145">
        <f>SUM(J12:J16)</f>
        <v>11392046740</v>
      </c>
      <c r="K11" s="145">
        <f>SUM(K12:K16)</f>
        <v>7875684116.1999588</v>
      </c>
      <c r="L11" s="113">
        <f t="shared" ref="L11:L16" si="1">IF(J11=0," ",K11/J11)</f>
        <v>0.69133179453580429</v>
      </c>
      <c r="M11" s="4"/>
      <c r="N11" s="145">
        <f t="shared" ref="N11:O16" si="2">+J11-F11</f>
        <v>1254075540</v>
      </c>
      <c r="O11" s="145">
        <f t="shared" si="2"/>
        <v>3425863544.5099411</v>
      </c>
    </row>
    <row r="12" spans="3:18" x14ac:dyDescent="0.2">
      <c r="C12" s="66" t="s">
        <v>32</v>
      </c>
      <c r="D12" s="107" t="s">
        <v>1</v>
      </c>
      <c r="E12" s="4"/>
      <c r="F12" s="144">
        <v>9322663553</v>
      </c>
      <c r="G12" s="144">
        <v>4147785434.5300174</v>
      </c>
      <c r="H12" s="84">
        <f t="shared" si="0"/>
        <v>0.44491420407371396</v>
      </c>
      <c r="I12" s="4"/>
      <c r="J12" s="144">
        <v>10418419742</v>
      </c>
      <c r="K12" s="144">
        <v>7357866032.209959</v>
      </c>
      <c r="L12" s="84">
        <f t="shared" si="1"/>
        <v>0.70623628289307971</v>
      </c>
      <c r="M12" s="4"/>
      <c r="N12" s="144">
        <f t="shared" si="2"/>
        <v>1095756189</v>
      </c>
      <c r="O12" s="144">
        <f t="shared" si="2"/>
        <v>3210080597.6799417</v>
      </c>
      <c r="Q12" s="67"/>
      <c r="R12" s="67"/>
    </row>
    <row r="13" spans="3:18" x14ac:dyDescent="0.2">
      <c r="C13" s="66" t="s">
        <v>33</v>
      </c>
      <c r="D13" s="107" t="s">
        <v>2</v>
      </c>
      <c r="E13" s="4"/>
      <c r="F13" s="144">
        <v>0</v>
      </c>
      <c r="G13" s="144">
        <v>0</v>
      </c>
      <c r="H13" s="84" t="str">
        <f t="shared" si="0"/>
        <v xml:space="preserve"> </v>
      </c>
      <c r="I13" s="4"/>
      <c r="J13" s="144">
        <v>240899261</v>
      </c>
      <c r="K13" s="144">
        <v>48808713.960000008</v>
      </c>
      <c r="L13" s="84">
        <f t="shared" si="1"/>
        <v>0.20261047608610144</v>
      </c>
      <c r="M13" s="4"/>
      <c r="N13" s="144">
        <f t="shared" si="2"/>
        <v>240899261</v>
      </c>
      <c r="O13" s="144">
        <f t="shared" si="2"/>
        <v>48808713.960000008</v>
      </c>
      <c r="Q13" s="67"/>
      <c r="R13" s="67"/>
    </row>
    <row r="14" spans="3:18" x14ac:dyDescent="0.2">
      <c r="C14" s="66" t="s">
        <v>34</v>
      </c>
      <c r="D14" s="107" t="s">
        <v>31</v>
      </c>
      <c r="E14" s="4"/>
      <c r="F14" s="144">
        <v>53125658</v>
      </c>
      <c r="G14" s="144">
        <v>13346184.809999999</v>
      </c>
      <c r="H14" s="84">
        <f t="shared" si="0"/>
        <v>0.25121919073454108</v>
      </c>
      <c r="I14" s="4"/>
      <c r="J14" s="144">
        <v>90820174</v>
      </c>
      <c r="K14" s="144">
        <v>38258519.000000007</v>
      </c>
      <c r="L14" s="84">
        <f t="shared" si="1"/>
        <v>0.42125573333519495</v>
      </c>
      <c r="M14" s="4"/>
      <c r="N14" s="144">
        <f t="shared" si="2"/>
        <v>37694516</v>
      </c>
      <c r="O14" s="144">
        <f t="shared" si="2"/>
        <v>24912334.190000009</v>
      </c>
      <c r="Q14" s="67"/>
      <c r="R14" s="67"/>
    </row>
    <row r="15" spans="3:18" x14ac:dyDescent="0.2">
      <c r="C15" s="66" t="s">
        <v>35</v>
      </c>
      <c r="D15" s="107" t="s">
        <v>3</v>
      </c>
      <c r="E15" s="4"/>
      <c r="F15" s="144">
        <v>756908623</v>
      </c>
      <c r="G15" s="144">
        <v>288688952.35000002</v>
      </c>
      <c r="H15" s="84">
        <f t="shared" si="0"/>
        <v>0.38140528932777135</v>
      </c>
      <c r="I15" s="4"/>
      <c r="J15" s="144">
        <v>639771701</v>
      </c>
      <c r="K15" s="144">
        <v>429368272.31999993</v>
      </c>
      <c r="L15" s="84">
        <f t="shared" si="1"/>
        <v>0.67112732815295306</v>
      </c>
      <c r="M15" s="4"/>
      <c r="N15" s="144">
        <f t="shared" si="2"/>
        <v>-117136922</v>
      </c>
      <c r="O15" s="144">
        <f t="shared" si="2"/>
        <v>140679319.96999991</v>
      </c>
      <c r="Q15" s="67"/>
      <c r="R15" s="67"/>
    </row>
    <row r="16" spans="3:18" x14ac:dyDescent="0.2">
      <c r="C16" s="66" t="s">
        <v>90</v>
      </c>
      <c r="D16" s="107" t="s">
        <v>91</v>
      </c>
      <c r="E16" s="4"/>
      <c r="F16" s="144">
        <v>5273366</v>
      </c>
      <c r="G16" s="144">
        <v>0</v>
      </c>
      <c r="H16" s="84">
        <f t="shared" si="0"/>
        <v>0</v>
      </c>
      <c r="I16" s="4"/>
      <c r="J16" s="144">
        <v>2135862</v>
      </c>
      <c r="K16" s="144">
        <v>1382578.71</v>
      </c>
      <c r="L16" s="84">
        <f t="shared" si="1"/>
        <v>0.64731649797599278</v>
      </c>
      <c r="M16" s="4"/>
      <c r="N16" s="144">
        <f t="shared" si="2"/>
        <v>-3137504</v>
      </c>
      <c r="O16" s="144">
        <f t="shared" si="2"/>
        <v>1382578.71</v>
      </c>
      <c r="Q16" s="67"/>
      <c r="R16" s="67"/>
    </row>
    <row r="17" spans="2:21" ht="5.25" customHeight="1" x14ac:dyDescent="0.2">
      <c r="C17" s="63"/>
      <c r="D17" s="64"/>
      <c r="E17" s="4"/>
      <c r="F17" s="144"/>
      <c r="G17" s="144"/>
      <c r="H17" s="85"/>
      <c r="I17" s="4"/>
      <c r="J17" s="144"/>
      <c r="K17" s="144"/>
      <c r="L17" s="85"/>
      <c r="M17" s="4"/>
      <c r="N17" s="144"/>
      <c r="O17" s="144"/>
    </row>
    <row r="18" spans="2:21" x14ac:dyDescent="0.2">
      <c r="C18" s="177" t="s">
        <v>5</v>
      </c>
      <c r="D18" s="178"/>
      <c r="E18" s="14"/>
      <c r="F18" s="145">
        <f>+F19+F25</f>
        <v>10137971200</v>
      </c>
      <c r="G18" s="145">
        <f>+G19+G25</f>
        <v>4449820571.6900015</v>
      </c>
      <c r="H18" s="113">
        <f>IF(F18=0," ",G18/F18)</f>
        <v>0.43892614053687601</v>
      </c>
      <c r="I18" s="4"/>
      <c r="J18" s="145">
        <f>+J19+J25</f>
        <v>11392046740</v>
      </c>
      <c r="K18" s="145">
        <f>+K19+K25</f>
        <v>7875684116.2000084</v>
      </c>
      <c r="L18" s="113">
        <f t="shared" ref="L18:L30" si="3">IF(J18=0," ",K18/J18)</f>
        <v>0.69133179453580862</v>
      </c>
      <c r="M18" s="4"/>
      <c r="N18" s="145">
        <f t="shared" ref="N18:N30" si="4">+J18-F18</f>
        <v>1254075540</v>
      </c>
      <c r="O18" s="145">
        <f t="shared" ref="O18:O30" si="5">+K18-G18</f>
        <v>3425863544.5100069</v>
      </c>
    </row>
    <row r="19" spans="2:21" x14ac:dyDescent="0.2">
      <c r="C19" s="66"/>
      <c r="D19" s="114" t="s">
        <v>100</v>
      </c>
      <c r="E19" s="14"/>
      <c r="F19" s="145">
        <f>+SUM(F20:F24)</f>
        <v>8735723716</v>
      </c>
      <c r="G19" s="145">
        <f>+SUM(G20:G24)</f>
        <v>4080239381.2100015</v>
      </c>
      <c r="H19" s="113">
        <f t="shared" ref="H19:H30" si="6">IF(F19=0," ",G19/F19)</f>
        <v>0.46707514040729098</v>
      </c>
      <c r="I19" s="4"/>
      <c r="J19" s="145">
        <f>+SUM(J20:J24)</f>
        <v>9414620767</v>
      </c>
      <c r="K19" s="145">
        <f>+SUM(K20:K24)</f>
        <v>6594988083.8600082</v>
      </c>
      <c r="L19" s="113">
        <f t="shared" si="3"/>
        <v>0.70050491114593483</v>
      </c>
      <c r="M19" s="4"/>
      <c r="N19" s="145">
        <f t="shared" si="4"/>
        <v>678897051</v>
      </c>
      <c r="O19" s="145">
        <f t="shared" si="5"/>
        <v>2514748702.6500068</v>
      </c>
    </row>
    <row r="20" spans="2:21" x14ac:dyDescent="0.2">
      <c r="C20" s="66"/>
      <c r="D20" s="108" t="s">
        <v>101</v>
      </c>
      <c r="E20" s="4"/>
      <c r="F20" s="144">
        <v>4597655658</v>
      </c>
      <c r="G20" s="144">
        <v>2227071307.7100034</v>
      </c>
      <c r="H20" s="84">
        <f t="shared" si="6"/>
        <v>0.48439280219580189</v>
      </c>
      <c r="I20" s="4"/>
      <c r="J20" s="144">
        <v>4968785327</v>
      </c>
      <c r="K20" s="144">
        <v>3537318969.6900115</v>
      </c>
      <c r="L20" s="84">
        <f t="shared" si="3"/>
        <v>0.71190819021069196</v>
      </c>
      <c r="M20" s="4"/>
      <c r="N20" s="144">
        <f t="shared" si="4"/>
        <v>371129669</v>
      </c>
      <c r="O20" s="144">
        <f t="shared" si="5"/>
        <v>1310247661.9800081</v>
      </c>
      <c r="Q20" s="67"/>
      <c r="R20" s="67"/>
      <c r="U20" s="67"/>
    </row>
    <row r="21" spans="2:21" x14ac:dyDescent="0.2">
      <c r="C21" s="66"/>
      <c r="D21" s="108" t="s">
        <v>102</v>
      </c>
      <c r="E21" s="4"/>
      <c r="F21" s="144">
        <v>154142804</v>
      </c>
      <c r="G21" s="144">
        <v>74446681.769999996</v>
      </c>
      <c r="H21" s="84">
        <f t="shared" si="6"/>
        <v>0.4829721520441525</v>
      </c>
      <c r="I21" s="4"/>
      <c r="J21" s="144">
        <v>150963031</v>
      </c>
      <c r="K21" s="144">
        <v>110253907.48999998</v>
      </c>
      <c r="L21" s="84">
        <f t="shared" si="3"/>
        <v>0.73033713459290561</v>
      </c>
      <c r="M21" s="4"/>
      <c r="N21" s="144">
        <f t="shared" si="4"/>
        <v>-3179773</v>
      </c>
      <c r="O21" s="144">
        <f t="shared" si="5"/>
        <v>35807225.719999984</v>
      </c>
      <c r="Q21" s="67"/>
      <c r="R21" s="67"/>
      <c r="U21" s="67"/>
    </row>
    <row r="22" spans="2:21" x14ac:dyDescent="0.2">
      <c r="C22" s="66"/>
      <c r="D22" s="108" t="s">
        <v>103</v>
      </c>
      <c r="E22" s="4"/>
      <c r="F22" s="144">
        <v>3245083393</v>
      </c>
      <c r="G22" s="144">
        <v>1185553598.2399981</v>
      </c>
      <c r="H22" s="84">
        <f t="shared" si="6"/>
        <v>0.3653384072647769</v>
      </c>
      <c r="I22" s="4"/>
      <c r="J22" s="144">
        <v>3612578906</v>
      </c>
      <c r="K22" s="144">
        <v>2315538375.6099977</v>
      </c>
      <c r="L22" s="84">
        <f t="shared" si="3"/>
        <v>0.64096548085474481</v>
      </c>
      <c r="M22" s="4"/>
      <c r="N22" s="144">
        <f t="shared" si="4"/>
        <v>367495513</v>
      </c>
      <c r="O22" s="144">
        <f t="shared" si="5"/>
        <v>1129984777.3699996</v>
      </c>
      <c r="Q22" s="67"/>
      <c r="R22" s="67"/>
      <c r="U22" s="67"/>
    </row>
    <row r="23" spans="2:21" x14ac:dyDescent="0.2">
      <c r="C23" s="66"/>
      <c r="D23" s="108" t="s">
        <v>99</v>
      </c>
      <c r="E23" s="4"/>
      <c r="F23" s="144">
        <v>614179907</v>
      </c>
      <c r="G23" s="144">
        <v>526457259.05000013</v>
      </c>
      <c r="H23" s="84">
        <f t="shared" si="6"/>
        <v>0.85717108790079666</v>
      </c>
      <c r="I23" s="4"/>
      <c r="J23" s="144">
        <v>568928017</v>
      </c>
      <c r="K23" s="144">
        <v>539050338.1099999</v>
      </c>
      <c r="L23" s="84">
        <f t="shared" si="3"/>
        <v>0.94748425460298591</v>
      </c>
      <c r="M23" s="4"/>
      <c r="N23" s="144">
        <f t="shared" si="4"/>
        <v>-45251890</v>
      </c>
      <c r="O23" s="144">
        <f t="shared" si="5"/>
        <v>12593079.059999764</v>
      </c>
      <c r="Q23" s="67"/>
      <c r="R23" s="67"/>
      <c r="U23" s="67"/>
    </row>
    <row r="24" spans="2:21" x14ac:dyDescent="0.2">
      <c r="C24" s="66"/>
      <c r="D24" s="108" t="s">
        <v>109</v>
      </c>
      <c r="E24" s="4"/>
      <c r="F24" s="144">
        <v>124661954</v>
      </c>
      <c r="G24" s="144">
        <v>66710534.439999998</v>
      </c>
      <c r="H24" s="84">
        <f t="shared" si="6"/>
        <v>0.53513146793768362</v>
      </c>
      <c r="I24" s="4"/>
      <c r="J24" s="144">
        <v>113365486</v>
      </c>
      <c r="K24" s="144">
        <v>92826492.960000008</v>
      </c>
      <c r="L24" s="84">
        <f t="shared" si="3"/>
        <v>0.81882499017381716</v>
      </c>
      <c r="M24" s="4"/>
      <c r="N24" s="144">
        <f t="shared" si="4"/>
        <v>-11296468</v>
      </c>
      <c r="O24" s="144">
        <f t="shared" si="5"/>
        <v>26115958.520000011</v>
      </c>
      <c r="Q24" s="67"/>
      <c r="R24" s="67"/>
      <c r="U24" s="67"/>
    </row>
    <row r="25" spans="2:21" x14ac:dyDescent="0.2">
      <c r="C25" s="66"/>
      <c r="D25" s="114" t="s">
        <v>104</v>
      </c>
      <c r="E25" s="14"/>
      <c r="F25" s="145">
        <f>+F26+F27+F28</f>
        <v>1402247484</v>
      </c>
      <c r="G25" s="145">
        <f>+G26+G27+G28</f>
        <v>369581190.47999972</v>
      </c>
      <c r="H25" s="113">
        <f t="shared" si="6"/>
        <v>0.2635634541669819</v>
      </c>
      <c r="I25" s="4"/>
      <c r="J25" s="145">
        <f>+J26+J27+J28</f>
        <v>1977425973</v>
      </c>
      <c r="K25" s="145">
        <f>+K26+K27+K28</f>
        <v>1280696032.3400006</v>
      </c>
      <c r="L25" s="113">
        <f t="shared" si="3"/>
        <v>0.64765814236627339</v>
      </c>
      <c r="M25" s="4"/>
      <c r="N25" s="145">
        <f t="shared" si="4"/>
        <v>575178489</v>
      </c>
      <c r="O25" s="145">
        <f t="shared" si="5"/>
        <v>911114841.86000085</v>
      </c>
    </row>
    <row r="26" spans="2:21" x14ac:dyDescent="0.2">
      <c r="C26" s="68"/>
      <c r="D26" s="109" t="s">
        <v>99</v>
      </c>
      <c r="E26" s="4"/>
      <c r="F26" s="144">
        <v>115909615</v>
      </c>
      <c r="G26" s="144">
        <v>1030219</v>
      </c>
      <c r="H26" s="84">
        <f t="shared" si="6"/>
        <v>8.8881237333071975E-3</v>
      </c>
      <c r="I26" s="4"/>
      <c r="J26" s="144">
        <v>0</v>
      </c>
      <c r="K26" s="144">
        <v>0</v>
      </c>
      <c r="L26" s="84" t="str">
        <f t="shared" si="3"/>
        <v xml:space="preserve"> </v>
      </c>
      <c r="M26" s="4"/>
      <c r="N26" s="144">
        <f t="shared" si="4"/>
        <v>-115909615</v>
      </c>
      <c r="O26" s="144">
        <f t="shared" si="5"/>
        <v>-1030219</v>
      </c>
      <c r="Q26" s="67"/>
      <c r="R26" s="67"/>
      <c r="U26" s="67"/>
    </row>
    <row r="27" spans="2:21" x14ac:dyDescent="0.2">
      <c r="C27" s="68"/>
      <c r="D27" s="109" t="s">
        <v>109</v>
      </c>
      <c r="E27" s="4"/>
      <c r="F27" s="144">
        <v>0</v>
      </c>
      <c r="G27" s="144">
        <v>0</v>
      </c>
      <c r="H27" s="84" t="str">
        <f t="shared" si="6"/>
        <v xml:space="preserve"> </v>
      </c>
      <c r="I27" s="4"/>
      <c r="J27" s="144">
        <v>0</v>
      </c>
      <c r="K27" s="144">
        <v>0</v>
      </c>
      <c r="L27" s="84" t="str">
        <f t="shared" si="3"/>
        <v xml:space="preserve"> </v>
      </c>
      <c r="M27" s="4"/>
      <c r="N27" s="144">
        <f t="shared" si="4"/>
        <v>0</v>
      </c>
      <c r="O27" s="144">
        <f t="shared" si="5"/>
        <v>0</v>
      </c>
      <c r="Q27" s="67"/>
      <c r="R27" s="67"/>
      <c r="U27" s="67"/>
    </row>
    <row r="28" spans="2:21" s="69" customFormat="1" ht="12.75" customHeight="1" x14ac:dyDescent="0.2">
      <c r="C28" s="66"/>
      <c r="D28" s="115" t="s">
        <v>105</v>
      </c>
      <c r="F28" s="146">
        <f>SUM(F29:F30)</f>
        <v>1286337869</v>
      </c>
      <c r="G28" s="146">
        <f>SUM(G29:G30)</f>
        <v>368550971.47999972</v>
      </c>
      <c r="H28" s="113">
        <f t="shared" si="6"/>
        <v>0.28651179473283445</v>
      </c>
      <c r="I28" s="70"/>
      <c r="J28" s="146">
        <f>+J29+J30</f>
        <v>1977425973</v>
      </c>
      <c r="K28" s="146">
        <f>+K29+K30</f>
        <v>1280696032.3400006</v>
      </c>
      <c r="L28" s="116">
        <f t="shared" si="3"/>
        <v>0.64765814236627339</v>
      </c>
      <c r="M28" s="70"/>
      <c r="N28" s="145">
        <f t="shared" si="4"/>
        <v>691088104</v>
      </c>
      <c r="O28" s="145">
        <f t="shared" si="5"/>
        <v>912145060.86000085</v>
      </c>
      <c r="Q28" s="71"/>
      <c r="R28" s="71"/>
      <c r="U28" s="71"/>
    </row>
    <row r="29" spans="2:21" ht="12.75" customHeight="1" x14ac:dyDescent="0.2">
      <c r="C29" s="20"/>
      <c r="D29" s="108" t="s">
        <v>55</v>
      </c>
      <c r="E29" s="4"/>
      <c r="F29" s="144">
        <v>1235769264</v>
      </c>
      <c r="G29" s="144">
        <v>361789749.59999973</v>
      </c>
      <c r="H29" s="84">
        <f t="shared" si="6"/>
        <v>0.29276480661846249</v>
      </c>
      <c r="I29" s="4"/>
      <c r="J29" s="148">
        <v>1913501457</v>
      </c>
      <c r="K29" s="144">
        <v>1255264112.9100006</v>
      </c>
      <c r="L29" s="84">
        <f t="shared" si="3"/>
        <v>0.6560037403253467</v>
      </c>
      <c r="M29" s="4"/>
      <c r="N29" s="144">
        <f t="shared" si="4"/>
        <v>677732193</v>
      </c>
      <c r="O29" s="144">
        <f t="shared" si="5"/>
        <v>893474363.3100009</v>
      </c>
      <c r="Q29" s="67"/>
      <c r="R29" s="67"/>
      <c r="U29" s="67"/>
    </row>
    <row r="30" spans="2:21" x14ac:dyDescent="0.2">
      <c r="B30" s="4"/>
      <c r="C30" s="21"/>
      <c r="D30" s="110" t="s">
        <v>56</v>
      </c>
      <c r="E30" s="4"/>
      <c r="F30" s="147">
        <v>50568605</v>
      </c>
      <c r="G30" s="147">
        <v>6761221.8799999999</v>
      </c>
      <c r="H30" s="86">
        <f t="shared" si="6"/>
        <v>0.13370394298992427</v>
      </c>
      <c r="I30" s="4"/>
      <c r="J30" s="147">
        <v>63924516</v>
      </c>
      <c r="K30" s="147">
        <v>25431919.430000011</v>
      </c>
      <c r="L30" s="86">
        <f t="shared" si="3"/>
        <v>0.397842972014055</v>
      </c>
      <c r="M30" s="4"/>
      <c r="N30" s="147">
        <f t="shared" si="4"/>
        <v>13355911</v>
      </c>
      <c r="O30" s="147">
        <f t="shared" si="5"/>
        <v>18670697.550000012</v>
      </c>
      <c r="Q30" s="67"/>
      <c r="R30" s="67"/>
      <c r="U30" s="67"/>
    </row>
    <row r="31" spans="2:21" x14ac:dyDescent="0.2">
      <c r="B31" s="4"/>
      <c r="C31" s="58" t="s">
        <v>148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21" x14ac:dyDescent="0.2">
      <c r="B32" s="4"/>
      <c r="C32" s="57" t="s">
        <v>134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">
      <c r="B33" s="4"/>
      <c r="C33" s="1"/>
      <c r="D33" s="4"/>
      <c r="E33" s="4"/>
      <c r="F33" s="4"/>
      <c r="G33" s="4"/>
      <c r="H33" s="4"/>
      <c r="I33" s="4"/>
      <c r="L33" s="4"/>
      <c r="M33" s="4"/>
      <c r="N33" s="4"/>
      <c r="O33" s="4"/>
    </row>
    <row r="34" spans="2:15" x14ac:dyDescent="0.2">
      <c r="B34" s="4"/>
      <c r="C34" s="5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6" spans="2:15" x14ac:dyDescent="0.2">
      <c r="F36" s="67"/>
      <c r="G36" s="67"/>
    </row>
  </sheetData>
  <mergeCells count="17">
    <mergeCell ref="J6:L6"/>
    <mergeCell ref="C18:D18"/>
    <mergeCell ref="C11:D11"/>
    <mergeCell ref="C1:O1"/>
    <mergeCell ref="C2:O2"/>
    <mergeCell ref="C3:O3"/>
    <mergeCell ref="J7:J9"/>
    <mergeCell ref="K7:K9"/>
    <mergeCell ref="L7:L9"/>
    <mergeCell ref="H7:H9"/>
    <mergeCell ref="F7:F9"/>
    <mergeCell ref="N6:O6"/>
    <mergeCell ref="O7:O9"/>
    <mergeCell ref="C6:D9"/>
    <mergeCell ref="N7:N9"/>
    <mergeCell ref="G7:G9"/>
    <mergeCell ref="F6:H6"/>
  </mergeCells>
  <phoneticPr fontId="21" type="noConversion"/>
  <printOptions horizontalCentered="1"/>
  <pageMargins left="0" right="0" top="0.39370078740157483" bottom="0.39370078740157483" header="0" footer="0.27559055118110237"/>
  <pageSetup paperSize="9" scale="98" orientation="landscape" r:id="rId1"/>
  <headerFooter alignWithMargins="0">
    <oddFooter>&amp;C&amp;"Arial Narrow,Normal"&amp;8Página &amp;P de &amp;N</oddFooter>
  </headerFooter>
  <ignoredErrors>
    <ignoredError sqref="D17:D18 C17:C18" numberStoredAsText="1"/>
    <ignoredError sqref="J11:K11 I30 I11:I13 I28 H17 L17 I24 I17:I18 I20:I2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6"/>
  <sheetViews>
    <sheetView showGridLines="0" zoomScale="130" zoomScaleNormal="130" workbookViewId="0">
      <selection activeCell="I39" sqref="I39:J41"/>
    </sheetView>
  </sheetViews>
  <sheetFormatPr baseColWidth="10" defaultRowHeight="12.75" x14ac:dyDescent="0.2"/>
  <cols>
    <col min="1" max="1" width="2.85546875" style="39" customWidth="1"/>
    <col min="2" max="2" width="8.7109375" style="39" bestFit="1" customWidth="1"/>
    <col min="3" max="3" width="65.140625" style="39" customWidth="1"/>
    <col min="4" max="4" width="0.85546875" style="39" customWidth="1"/>
    <col min="5" max="6" width="14.42578125" style="39" bestFit="1" customWidth="1"/>
    <col min="7" max="7" width="11.42578125" style="39"/>
    <col min="8" max="8" width="0.85546875" style="39" customWidth="1"/>
    <col min="9" max="10" width="14.42578125" style="39" bestFit="1" customWidth="1"/>
    <col min="11" max="11" width="11.42578125" style="39"/>
    <col min="12" max="12" width="0.85546875" style="39" customWidth="1"/>
    <col min="13" max="13" width="14.42578125" style="39" bestFit="1" customWidth="1"/>
    <col min="14" max="14" width="13.7109375" style="39" customWidth="1"/>
    <col min="15" max="16384" width="11.42578125" style="39"/>
  </cols>
  <sheetData>
    <row r="1" spans="2:15" ht="14.25" x14ac:dyDescent="0.2">
      <c r="B1" s="195" t="s">
        <v>149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75"/>
    </row>
    <row r="2" spans="2:15" x14ac:dyDescent="0.2">
      <c r="B2" s="180" t="s">
        <v>89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72"/>
    </row>
    <row r="3" spans="2:15" x14ac:dyDescent="0.2">
      <c r="B3" s="180" t="s">
        <v>107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72"/>
    </row>
    <row r="4" spans="2:15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2:15" x14ac:dyDescent="0.2">
      <c r="B5" s="194" t="s">
        <v>22</v>
      </c>
      <c r="C5" s="194"/>
      <c r="D5" s="61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7" spans="2:15" x14ac:dyDescent="0.2">
      <c r="B7" s="199" t="s">
        <v>63</v>
      </c>
      <c r="C7" s="200"/>
      <c r="D7" s="38"/>
      <c r="E7" s="193" t="s">
        <v>130</v>
      </c>
      <c r="F7" s="193"/>
      <c r="G7" s="193"/>
      <c r="I7" s="193" t="s">
        <v>147</v>
      </c>
      <c r="J7" s="193"/>
      <c r="K7" s="193"/>
      <c r="M7" s="193" t="s">
        <v>10</v>
      </c>
      <c r="N7" s="193"/>
    </row>
    <row r="8" spans="2:15" s="40" customFormat="1" ht="38.25" x14ac:dyDescent="0.2">
      <c r="B8" s="201"/>
      <c r="C8" s="202"/>
      <c r="D8" s="38"/>
      <c r="E8" s="111" t="s">
        <v>64</v>
      </c>
      <c r="F8" s="112" t="s">
        <v>132</v>
      </c>
      <c r="G8" s="111" t="s">
        <v>0</v>
      </c>
      <c r="I8" s="111" t="s">
        <v>64</v>
      </c>
      <c r="J8" s="112" t="s">
        <v>132</v>
      </c>
      <c r="K8" s="111" t="s">
        <v>0</v>
      </c>
      <c r="M8" s="112" t="s">
        <v>65</v>
      </c>
      <c r="N8" s="112" t="s">
        <v>132</v>
      </c>
    </row>
    <row r="9" spans="2:15" s="40" customFormat="1" x14ac:dyDescent="0.2">
      <c r="B9" s="196" t="s">
        <v>66</v>
      </c>
      <c r="C9" s="196"/>
      <c r="D9" s="76"/>
      <c r="E9" s="149">
        <f>SUM(E10:E14)</f>
        <v>4597655658</v>
      </c>
      <c r="F9" s="149">
        <f>SUM(F10:F14)</f>
        <v>2227071307.7100048</v>
      </c>
      <c r="G9" s="117">
        <f t="shared" ref="G9:G41" si="0">IF(E9=0," ",F9/E9)</f>
        <v>0.48439280219580222</v>
      </c>
      <c r="I9" s="149">
        <f>SUM(I10:I14)</f>
        <v>4968785327</v>
      </c>
      <c r="J9" s="149">
        <f>SUM(J10:J14)</f>
        <v>3537318969.6900144</v>
      </c>
      <c r="K9" s="117">
        <f t="shared" ref="K9:K42" si="1">IF(I9=0," ",J9/I9)</f>
        <v>0.71190819021069263</v>
      </c>
      <c r="M9" s="149">
        <f t="shared" ref="M9:M38" si="2">+E9-I9</f>
        <v>-371129669</v>
      </c>
      <c r="N9" s="149">
        <f t="shared" ref="N9:N37" si="3">+F9-J9</f>
        <v>-1310247661.9800096</v>
      </c>
    </row>
    <row r="10" spans="2:15" x14ac:dyDescent="0.2">
      <c r="B10" s="203" t="s">
        <v>136</v>
      </c>
      <c r="C10" s="204"/>
      <c r="D10" s="77"/>
      <c r="E10" s="150">
        <v>4285085503</v>
      </c>
      <c r="F10" s="150">
        <v>2081107137.040005</v>
      </c>
      <c r="G10" s="78">
        <f t="shared" si="0"/>
        <v>0.48566291981408916</v>
      </c>
      <c r="I10" s="150">
        <v>4622673506</v>
      </c>
      <c r="J10" s="150">
        <v>3309479616.6000142</v>
      </c>
      <c r="K10" s="78">
        <f t="shared" si="1"/>
        <v>0.71592328818041651</v>
      </c>
      <c r="M10" s="150">
        <f t="shared" si="2"/>
        <v>-337588003</v>
      </c>
      <c r="N10" s="150">
        <f t="shared" si="3"/>
        <v>-1228372479.5600092</v>
      </c>
    </row>
    <row r="11" spans="2:15" x14ac:dyDescent="0.2">
      <c r="B11" s="189" t="s">
        <v>137</v>
      </c>
      <c r="C11" s="190"/>
      <c r="D11" s="77"/>
      <c r="E11" s="151">
        <v>14091219</v>
      </c>
      <c r="F11" s="151">
        <v>4937211.96</v>
      </c>
      <c r="G11" s="79">
        <f t="shared" ref="G11:G12" si="4">IF(E11=0," ",F11/E11)</f>
        <v>0.35037507826682701</v>
      </c>
      <c r="I11" s="151">
        <v>20562759</v>
      </c>
      <c r="J11" s="151">
        <v>7754705.4500000002</v>
      </c>
      <c r="K11" s="79">
        <f t="shared" ref="K11:K12" si="5">IF(I11=0," ",J11/I11)</f>
        <v>0.3771237823679206</v>
      </c>
      <c r="M11" s="151">
        <f t="shared" ref="M11:M12" si="6">+E11-I11</f>
        <v>-6471540</v>
      </c>
      <c r="N11" s="151">
        <f t="shared" ref="N11:N12" si="7">+F11-J11</f>
        <v>-2817493.49</v>
      </c>
    </row>
    <row r="12" spans="2:15" x14ac:dyDescent="0.2">
      <c r="B12" s="189" t="s">
        <v>138</v>
      </c>
      <c r="C12" s="190"/>
      <c r="D12" s="77"/>
      <c r="E12" s="151">
        <v>241822815</v>
      </c>
      <c r="F12" s="151">
        <v>119603579.62999974</v>
      </c>
      <c r="G12" s="79">
        <f t="shared" si="4"/>
        <v>0.49459179287942595</v>
      </c>
      <c r="I12" s="151">
        <v>264131684</v>
      </c>
      <c r="J12" s="151">
        <v>188849333.91000015</v>
      </c>
      <c r="K12" s="79">
        <f t="shared" si="5"/>
        <v>0.71498175095873828</v>
      </c>
      <c r="M12" s="151">
        <f t="shared" si="6"/>
        <v>-22308869</v>
      </c>
      <c r="N12" s="151">
        <f t="shared" si="7"/>
        <v>-69245754.280000404</v>
      </c>
    </row>
    <row r="13" spans="2:15" x14ac:dyDescent="0.2">
      <c r="B13" s="189" t="s">
        <v>139</v>
      </c>
      <c r="C13" s="190"/>
      <c r="D13" s="77"/>
      <c r="E13" s="151">
        <v>54798778</v>
      </c>
      <c r="F13" s="151">
        <v>20998021.080000009</v>
      </c>
      <c r="G13" s="79">
        <f t="shared" si="0"/>
        <v>0.38318411187928331</v>
      </c>
      <c r="I13" s="151">
        <v>57695667</v>
      </c>
      <c r="J13" s="151">
        <v>28838499.809999995</v>
      </c>
      <c r="K13" s="79">
        <f t="shared" si="1"/>
        <v>0.49983822545980783</v>
      </c>
      <c r="M13" s="151">
        <f t="shared" si="2"/>
        <v>-2896889</v>
      </c>
      <c r="N13" s="151">
        <f t="shared" si="3"/>
        <v>-7840478.7299999855</v>
      </c>
    </row>
    <row r="14" spans="2:15" x14ac:dyDescent="0.2">
      <c r="B14" s="187" t="s">
        <v>140</v>
      </c>
      <c r="C14" s="188"/>
      <c r="D14" s="77"/>
      <c r="E14" s="151">
        <v>1857343</v>
      </c>
      <c r="F14" s="151">
        <v>425358</v>
      </c>
      <c r="G14" s="80">
        <f t="shared" si="0"/>
        <v>0.22901424238818571</v>
      </c>
      <c r="I14" s="153">
        <v>3721711</v>
      </c>
      <c r="J14" s="153">
        <v>2396813.9200000004</v>
      </c>
      <c r="K14" s="80">
        <f t="shared" si="1"/>
        <v>0.64400860786880021</v>
      </c>
      <c r="M14" s="153">
        <f t="shared" si="2"/>
        <v>-1864368</v>
      </c>
      <c r="N14" s="153">
        <f t="shared" si="3"/>
        <v>-1971455.9200000004</v>
      </c>
    </row>
    <row r="15" spans="2:15" x14ac:dyDescent="0.2">
      <c r="B15" s="196" t="s">
        <v>67</v>
      </c>
      <c r="C15" s="196"/>
      <c r="D15" s="76"/>
      <c r="E15" s="152">
        <f>SUM(E16:E17)</f>
        <v>154142804</v>
      </c>
      <c r="F15" s="152">
        <f>SUM(F16:F17)</f>
        <v>74446681.770000011</v>
      </c>
      <c r="G15" s="117">
        <f t="shared" si="0"/>
        <v>0.48297215204415256</v>
      </c>
      <c r="I15" s="152">
        <f>SUM(I16:I17)</f>
        <v>150963031</v>
      </c>
      <c r="J15" s="152">
        <f>SUM(J16:J17)</f>
        <v>110253907.48999996</v>
      </c>
      <c r="K15" s="117">
        <f t="shared" si="1"/>
        <v>0.7303371345929055</v>
      </c>
      <c r="M15" s="152">
        <f t="shared" si="2"/>
        <v>3179773</v>
      </c>
      <c r="N15" s="152">
        <f t="shared" si="3"/>
        <v>-35807225.719999954</v>
      </c>
    </row>
    <row r="16" spans="2:15" x14ac:dyDescent="0.2">
      <c r="B16" s="191" t="s">
        <v>68</v>
      </c>
      <c r="C16" s="191"/>
      <c r="D16" s="77"/>
      <c r="E16" s="150">
        <v>151388751</v>
      </c>
      <c r="F16" s="150">
        <v>73410127.710000008</v>
      </c>
      <c r="G16" s="78">
        <f t="shared" si="0"/>
        <v>0.48491137700184878</v>
      </c>
      <c r="I16" s="150">
        <v>144234828</v>
      </c>
      <c r="J16" s="150">
        <v>107652324.15999997</v>
      </c>
      <c r="K16" s="78">
        <f t="shared" si="1"/>
        <v>0.74636844410422121</v>
      </c>
      <c r="M16" s="150">
        <f t="shared" si="2"/>
        <v>7153923</v>
      </c>
      <c r="N16" s="150">
        <f t="shared" si="3"/>
        <v>-34242196.449999958</v>
      </c>
    </row>
    <row r="17" spans="2:14" x14ac:dyDescent="0.2">
      <c r="B17" s="192" t="s">
        <v>69</v>
      </c>
      <c r="C17" s="192"/>
      <c r="D17" s="77"/>
      <c r="E17" s="153">
        <v>2754053</v>
      </c>
      <c r="F17" s="153">
        <v>1036554.0599999999</v>
      </c>
      <c r="G17" s="80">
        <f t="shared" si="0"/>
        <v>0.37637404218437331</v>
      </c>
      <c r="I17" s="153">
        <v>6728203</v>
      </c>
      <c r="J17" s="153">
        <v>2601583.33</v>
      </c>
      <c r="K17" s="80">
        <f t="shared" si="1"/>
        <v>0.3866683763851953</v>
      </c>
      <c r="M17" s="153">
        <f t="shared" si="2"/>
        <v>-3974150</v>
      </c>
      <c r="N17" s="153">
        <f t="shared" si="3"/>
        <v>-1565029.27</v>
      </c>
    </row>
    <row r="18" spans="2:14" x14ac:dyDescent="0.2">
      <c r="B18" s="196" t="s">
        <v>70</v>
      </c>
      <c r="C18" s="196"/>
      <c r="D18" s="76"/>
      <c r="E18" s="152">
        <f>SUM(E19:E20)</f>
        <v>3245083393</v>
      </c>
      <c r="F18" s="152">
        <f>SUM(F19:F20)</f>
        <v>1185553598.2400002</v>
      </c>
      <c r="G18" s="117">
        <f t="shared" si="0"/>
        <v>0.36533840726477756</v>
      </c>
      <c r="I18" s="152">
        <f>SUM(I19:I20)</f>
        <v>3612578906</v>
      </c>
      <c r="J18" s="152">
        <f>SUM(J19:J20)</f>
        <v>2315538375.6100011</v>
      </c>
      <c r="K18" s="117">
        <f t="shared" si="1"/>
        <v>0.6409654808547457</v>
      </c>
      <c r="M18" s="152">
        <f t="shared" si="2"/>
        <v>-367495513</v>
      </c>
      <c r="N18" s="152">
        <f t="shared" si="3"/>
        <v>-1129984777.3700008</v>
      </c>
    </row>
    <row r="19" spans="2:14" x14ac:dyDescent="0.2">
      <c r="B19" s="191" t="s">
        <v>71</v>
      </c>
      <c r="C19" s="191"/>
      <c r="D19" s="77"/>
      <c r="E19" s="150">
        <v>1703613070</v>
      </c>
      <c r="F19" s="150">
        <v>543301123.76000094</v>
      </c>
      <c r="G19" s="78">
        <f t="shared" si="0"/>
        <v>0.31891110330587036</v>
      </c>
      <c r="I19" s="150">
        <v>1927865574</v>
      </c>
      <c r="J19" s="150">
        <v>1190303175.3099999</v>
      </c>
      <c r="K19" s="78">
        <f t="shared" si="1"/>
        <v>0.61742021402473568</v>
      </c>
      <c r="M19" s="150">
        <f t="shared" si="2"/>
        <v>-224252504</v>
      </c>
      <c r="N19" s="150">
        <f t="shared" si="3"/>
        <v>-647002051.549999</v>
      </c>
    </row>
    <row r="20" spans="2:14" x14ac:dyDescent="0.2">
      <c r="B20" s="192" t="s">
        <v>72</v>
      </c>
      <c r="C20" s="192"/>
      <c r="D20" s="77"/>
      <c r="E20" s="153">
        <v>1541470323</v>
      </c>
      <c r="F20" s="153">
        <v>642252474.4799993</v>
      </c>
      <c r="G20" s="80">
        <f t="shared" si="0"/>
        <v>0.41664926330209945</v>
      </c>
      <c r="I20" s="153">
        <v>1684713332</v>
      </c>
      <c r="J20" s="153">
        <v>1125235200.3000011</v>
      </c>
      <c r="K20" s="80">
        <f t="shared" si="1"/>
        <v>0.66790900204023618</v>
      </c>
      <c r="M20" s="153">
        <f t="shared" si="2"/>
        <v>-143243009</v>
      </c>
      <c r="N20" s="153">
        <f t="shared" si="3"/>
        <v>-482982725.82000184</v>
      </c>
    </row>
    <row r="21" spans="2:14" x14ac:dyDescent="0.2">
      <c r="B21" s="196" t="s">
        <v>73</v>
      </c>
      <c r="C21" s="196"/>
      <c r="D21" s="76"/>
      <c r="E21" s="152">
        <f>SUM(E22:E23)</f>
        <v>730089522</v>
      </c>
      <c r="F21" s="152">
        <f>SUM(F22:F23)</f>
        <v>527487478.05000013</v>
      </c>
      <c r="G21" s="117">
        <f t="shared" si="0"/>
        <v>0.72249698448623967</v>
      </c>
      <c r="I21" s="152">
        <f>SUM(I22:I23)</f>
        <v>568928017</v>
      </c>
      <c r="J21" s="152">
        <f>SUM(J22:J23)</f>
        <v>539050338.1099999</v>
      </c>
      <c r="K21" s="117">
        <f t="shared" si="1"/>
        <v>0.94748425460298591</v>
      </c>
      <c r="M21" s="152">
        <f t="shared" si="2"/>
        <v>161161505</v>
      </c>
      <c r="N21" s="152">
        <f>+F21-J21</f>
        <v>-11562860.059999764</v>
      </c>
    </row>
    <row r="22" spans="2:14" x14ac:dyDescent="0.2">
      <c r="B22" s="197" t="s">
        <v>74</v>
      </c>
      <c r="C22" s="197"/>
      <c r="D22" s="77"/>
      <c r="E22" s="154">
        <v>614179907</v>
      </c>
      <c r="F22" s="154">
        <v>526457259.05000013</v>
      </c>
      <c r="G22" s="81">
        <f t="shared" si="0"/>
        <v>0.85717108790079666</v>
      </c>
      <c r="I22" s="154">
        <v>568928017</v>
      </c>
      <c r="J22" s="154">
        <v>539050338.1099999</v>
      </c>
      <c r="K22" s="81">
        <f t="shared" si="1"/>
        <v>0.94748425460298591</v>
      </c>
      <c r="M22" s="154">
        <f t="shared" si="2"/>
        <v>45251890</v>
      </c>
      <c r="N22" s="154">
        <f t="shared" si="3"/>
        <v>-12593079.059999764</v>
      </c>
    </row>
    <row r="23" spans="2:14" x14ac:dyDescent="0.2">
      <c r="B23" s="198" t="s">
        <v>97</v>
      </c>
      <c r="C23" s="198"/>
      <c r="D23" s="77"/>
      <c r="E23" s="155">
        <v>115909615</v>
      </c>
      <c r="F23" s="155">
        <v>1030219</v>
      </c>
      <c r="G23" s="82">
        <f>IF(E23=0," ",F23/E23)</f>
        <v>8.8881237333071975E-3</v>
      </c>
      <c r="I23" s="155">
        <v>0</v>
      </c>
      <c r="J23" s="155">
        <v>0</v>
      </c>
      <c r="K23" s="82" t="str">
        <f>IF(I23=0," ",J23/I23)</f>
        <v xml:space="preserve"> </v>
      </c>
      <c r="M23" s="155">
        <f>+E23-I23</f>
        <v>115909615</v>
      </c>
      <c r="N23" s="155">
        <f>+F23-J23</f>
        <v>1030219</v>
      </c>
    </row>
    <row r="24" spans="2:14" x14ac:dyDescent="0.2">
      <c r="B24" s="196" t="s">
        <v>75</v>
      </c>
      <c r="C24" s="196"/>
      <c r="D24" s="76"/>
      <c r="E24" s="152">
        <f>SUM(E25:E29)</f>
        <v>124661954</v>
      </c>
      <c r="F24" s="152">
        <f>SUM(F25:F29)</f>
        <v>66710534.440000005</v>
      </c>
      <c r="G24" s="117">
        <f t="shared" si="0"/>
        <v>0.53513146793768374</v>
      </c>
      <c r="I24" s="152">
        <f>SUM(I25:I29)</f>
        <v>113365486</v>
      </c>
      <c r="J24" s="152">
        <f>SUM(J25:J29)</f>
        <v>92826492.960000008</v>
      </c>
      <c r="K24" s="117">
        <f t="shared" si="1"/>
        <v>0.81882499017381716</v>
      </c>
      <c r="M24" s="152">
        <f t="shared" si="2"/>
        <v>11296468</v>
      </c>
      <c r="N24" s="152">
        <f t="shared" si="3"/>
        <v>-26115958.520000003</v>
      </c>
    </row>
    <row r="25" spans="2:14" x14ac:dyDescent="0.2">
      <c r="B25" s="203" t="s">
        <v>141</v>
      </c>
      <c r="C25" s="204"/>
      <c r="D25" s="77"/>
      <c r="E25" s="150">
        <v>0</v>
      </c>
      <c r="F25" s="150">
        <v>0</v>
      </c>
      <c r="G25" s="78" t="str">
        <f t="shared" si="0"/>
        <v xml:space="preserve"> </v>
      </c>
      <c r="I25" s="150">
        <v>0</v>
      </c>
      <c r="J25" s="150">
        <v>0</v>
      </c>
      <c r="K25" s="78" t="str">
        <f t="shared" si="1"/>
        <v xml:space="preserve"> </v>
      </c>
      <c r="M25" s="150">
        <f t="shared" si="2"/>
        <v>0</v>
      </c>
      <c r="N25" s="150">
        <f t="shared" si="3"/>
        <v>0</v>
      </c>
    </row>
    <row r="26" spans="2:14" x14ac:dyDescent="0.2">
      <c r="B26" s="189" t="s">
        <v>142</v>
      </c>
      <c r="C26" s="190"/>
      <c r="D26" s="77"/>
      <c r="E26" s="150">
        <v>15843111</v>
      </c>
      <c r="F26" s="150">
        <v>8137587.8899999997</v>
      </c>
      <c r="G26" s="78">
        <f t="shared" si="0"/>
        <v>0.5136357303814888</v>
      </c>
      <c r="I26" s="150">
        <v>16413426</v>
      </c>
      <c r="J26" s="150">
        <v>12310929.83</v>
      </c>
      <c r="K26" s="78">
        <f t="shared" si="1"/>
        <v>0.75005241623534291</v>
      </c>
      <c r="M26" s="150">
        <f t="shared" si="2"/>
        <v>-570315</v>
      </c>
      <c r="N26" s="150">
        <f t="shared" si="3"/>
        <v>-4173341.9400000004</v>
      </c>
    </row>
    <row r="27" spans="2:14" x14ac:dyDescent="0.2">
      <c r="B27" s="189" t="s">
        <v>143</v>
      </c>
      <c r="C27" s="190"/>
      <c r="D27" s="77"/>
      <c r="E27" s="151">
        <v>104736774</v>
      </c>
      <c r="F27" s="151">
        <v>57753071.840000004</v>
      </c>
      <c r="G27" s="79">
        <f t="shared" si="0"/>
        <v>0.55141159722945066</v>
      </c>
      <c r="I27" s="151">
        <v>93027438</v>
      </c>
      <c r="J27" s="151">
        <v>78996574.330000013</v>
      </c>
      <c r="K27" s="79">
        <f t="shared" si="1"/>
        <v>0.84917499641342387</v>
      </c>
      <c r="M27" s="151">
        <f t="shared" si="2"/>
        <v>11709336</v>
      </c>
      <c r="N27" s="151">
        <f t="shared" si="3"/>
        <v>-21243502.49000001</v>
      </c>
    </row>
    <row r="28" spans="2:14" x14ac:dyDescent="0.2">
      <c r="B28" s="189" t="s">
        <v>144</v>
      </c>
      <c r="C28" s="190"/>
      <c r="D28" s="77"/>
      <c r="E28" s="151">
        <v>3861908</v>
      </c>
      <c r="F28" s="151">
        <v>819874.71</v>
      </c>
      <c r="G28" s="79">
        <f t="shared" si="0"/>
        <v>0.21229783568122285</v>
      </c>
      <c r="I28" s="151">
        <v>3742221</v>
      </c>
      <c r="J28" s="151">
        <v>1518988.8</v>
      </c>
      <c r="K28" s="79">
        <f t="shared" si="1"/>
        <v>0.40590569076492278</v>
      </c>
      <c r="M28" s="151">
        <f t="shared" si="2"/>
        <v>119687</v>
      </c>
      <c r="N28" s="151">
        <f t="shared" si="3"/>
        <v>-699114.09000000008</v>
      </c>
    </row>
    <row r="29" spans="2:14" x14ac:dyDescent="0.2">
      <c r="B29" s="187" t="s">
        <v>145</v>
      </c>
      <c r="C29" s="188"/>
      <c r="D29" s="77"/>
      <c r="E29" s="153">
        <v>220161</v>
      </c>
      <c r="F29" s="153">
        <v>0</v>
      </c>
      <c r="G29" s="80">
        <f t="shared" si="0"/>
        <v>0</v>
      </c>
      <c r="I29" s="153">
        <v>182401</v>
      </c>
      <c r="J29" s="153">
        <v>0</v>
      </c>
      <c r="K29" s="80">
        <f t="shared" si="1"/>
        <v>0</v>
      </c>
      <c r="M29" s="153">
        <f t="shared" si="2"/>
        <v>37760</v>
      </c>
      <c r="N29" s="153">
        <f t="shared" si="3"/>
        <v>0</v>
      </c>
    </row>
    <row r="30" spans="2:14" x14ac:dyDescent="0.2">
      <c r="B30" s="196" t="s">
        <v>76</v>
      </c>
      <c r="C30" s="196"/>
      <c r="D30" s="76"/>
      <c r="E30" s="152">
        <f>SUM(E31)</f>
        <v>0</v>
      </c>
      <c r="F30" s="152">
        <f>SUM(F31)</f>
        <v>0</v>
      </c>
      <c r="G30" s="117" t="str">
        <f t="shared" si="0"/>
        <v xml:space="preserve"> </v>
      </c>
      <c r="I30" s="152">
        <f>SUM(I31)</f>
        <v>0</v>
      </c>
      <c r="J30" s="152">
        <f>SUM(J31)</f>
        <v>0</v>
      </c>
      <c r="K30" s="117" t="str">
        <f t="shared" si="1"/>
        <v xml:space="preserve"> </v>
      </c>
      <c r="M30" s="152">
        <f t="shared" si="2"/>
        <v>0</v>
      </c>
      <c r="N30" s="152">
        <f t="shared" si="3"/>
        <v>0</v>
      </c>
    </row>
    <row r="31" spans="2:14" x14ac:dyDescent="0.2">
      <c r="B31" s="206" t="s">
        <v>77</v>
      </c>
      <c r="C31" s="206"/>
      <c r="D31" s="77"/>
      <c r="E31" s="156">
        <v>0</v>
      </c>
      <c r="F31" s="156">
        <v>0</v>
      </c>
      <c r="G31" s="83" t="str">
        <f t="shared" si="0"/>
        <v xml:space="preserve"> </v>
      </c>
      <c r="I31" s="156"/>
      <c r="J31" s="156"/>
      <c r="K31" s="83" t="str">
        <f t="shared" si="1"/>
        <v xml:space="preserve"> </v>
      </c>
      <c r="M31" s="156">
        <f t="shared" si="2"/>
        <v>0</v>
      </c>
      <c r="N31" s="156">
        <f t="shared" si="3"/>
        <v>0</v>
      </c>
    </row>
    <row r="32" spans="2:14" x14ac:dyDescent="0.2">
      <c r="B32" s="196" t="s">
        <v>78</v>
      </c>
      <c r="C32" s="196"/>
      <c r="D32" s="76"/>
      <c r="E32" s="152">
        <f>SUM(E33)</f>
        <v>0</v>
      </c>
      <c r="F32" s="152">
        <f>SUM(F33)</f>
        <v>0</v>
      </c>
      <c r="G32" s="117" t="str">
        <f t="shared" si="0"/>
        <v xml:space="preserve"> </v>
      </c>
      <c r="I32" s="152">
        <f>SUM(I33)</f>
        <v>0</v>
      </c>
      <c r="J32" s="152">
        <f>SUM(J33)</f>
        <v>0</v>
      </c>
      <c r="K32" s="117" t="str">
        <f t="shared" si="1"/>
        <v xml:space="preserve"> </v>
      </c>
      <c r="M32" s="152">
        <f t="shared" si="2"/>
        <v>0</v>
      </c>
      <c r="N32" s="152">
        <f t="shared" si="3"/>
        <v>0</v>
      </c>
    </row>
    <row r="33" spans="2:14" x14ac:dyDescent="0.2">
      <c r="B33" s="206" t="s">
        <v>79</v>
      </c>
      <c r="C33" s="206"/>
      <c r="D33" s="77"/>
      <c r="E33" s="156">
        <v>0</v>
      </c>
      <c r="F33" s="156">
        <v>0</v>
      </c>
      <c r="G33" s="83" t="str">
        <f t="shared" si="0"/>
        <v xml:space="preserve"> </v>
      </c>
      <c r="I33" s="156"/>
      <c r="J33" s="156"/>
      <c r="K33" s="83" t="str">
        <f t="shared" si="1"/>
        <v xml:space="preserve"> </v>
      </c>
      <c r="M33" s="156">
        <f t="shared" si="2"/>
        <v>0</v>
      </c>
      <c r="N33" s="156">
        <f t="shared" si="3"/>
        <v>0</v>
      </c>
    </row>
    <row r="34" spans="2:14" x14ac:dyDescent="0.2">
      <c r="B34" s="196" t="s">
        <v>80</v>
      </c>
      <c r="C34" s="196"/>
      <c r="D34" s="76"/>
      <c r="E34" s="152">
        <f>SUM(E35:E41)</f>
        <v>1286337869</v>
      </c>
      <c r="F34" s="152">
        <f>SUM(F35:F41)</f>
        <v>368550971.47999996</v>
      </c>
      <c r="G34" s="117">
        <f t="shared" si="0"/>
        <v>0.28651179473283467</v>
      </c>
      <c r="I34" s="152">
        <f>SUM(I35:I41)</f>
        <v>1977425973</v>
      </c>
      <c r="J34" s="152">
        <f>SUM(J35:J41)</f>
        <v>1280696032.3399997</v>
      </c>
      <c r="K34" s="117">
        <f t="shared" si="1"/>
        <v>0.64765814236627284</v>
      </c>
      <c r="M34" s="152">
        <f t="shared" si="2"/>
        <v>-691088104</v>
      </c>
      <c r="N34" s="152">
        <f t="shared" si="3"/>
        <v>-912145060.85999966</v>
      </c>
    </row>
    <row r="35" spans="2:14" x14ac:dyDescent="0.2">
      <c r="B35" s="191" t="s">
        <v>81</v>
      </c>
      <c r="C35" s="191"/>
      <c r="D35" s="77"/>
      <c r="E35" s="150">
        <v>0</v>
      </c>
      <c r="F35" s="150">
        <v>0</v>
      </c>
      <c r="G35" s="78" t="str">
        <f t="shared" si="0"/>
        <v xml:space="preserve"> </v>
      </c>
      <c r="I35" s="150">
        <v>0</v>
      </c>
      <c r="J35" s="150">
        <v>0</v>
      </c>
      <c r="K35" s="78" t="str">
        <f t="shared" si="1"/>
        <v xml:space="preserve"> </v>
      </c>
      <c r="M35" s="150">
        <f t="shared" si="2"/>
        <v>0</v>
      </c>
      <c r="N35" s="150">
        <f t="shared" si="3"/>
        <v>0</v>
      </c>
    </row>
    <row r="36" spans="2:14" x14ac:dyDescent="0.2">
      <c r="B36" s="191" t="s">
        <v>82</v>
      </c>
      <c r="C36" s="191"/>
      <c r="D36" s="77"/>
      <c r="E36" s="150">
        <v>819584403</v>
      </c>
      <c r="F36" s="150">
        <v>252554165.91</v>
      </c>
      <c r="G36" s="78">
        <f t="shared" si="0"/>
        <v>0.30814906309289536</v>
      </c>
      <c r="I36" s="150">
        <v>1196509375</v>
      </c>
      <c r="J36" s="150">
        <v>804044985.46999991</v>
      </c>
      <c r="K36" s="78">
        <f t="shared" si="1"/>
        <v>0.67199221524695529</v>
      </c>
      <c r="M36" s="150">
        <f t="shared" si="2"/>
        <v>-376924972</v>
      </c>
      <c r="N36" s="150">
        <f t="shared" si="3"/>
        <v>-551490819.55999994</v>
      </c>
    </row>
    <row r="37" spans="2:14" x14ac:dyDescent="0.2">
      <c r="B37" s="189" t="s">
        <v>83</v>
      </c>
      <c r="C37" s="190"/>
      <c r="D37" s="77"/>
      <c r="E37" s="151">
        <v>252081478</v>
      </c>
      <c r="F37" s="151">
        <v>37518853.349999987</v>
      </c>
      <c r="G37" s="79">
        <f t="shared" si="0"/>
        <v>0.14883621616182363</v>
      </c>
      <c r="I37" s="151">
        <v>451314455</v>
      </c>
      <c r="J37" s="151">
        <v>249996091.79999986</v>
      </c>
      <c r="K37" s="79">
        <f t="shared" si="1"/>
        <v>0.55392883837500806</v>
      </c>
      <c r="M37" s="151">
        <f t="shared" si="2"/>
        <v>-199232977</v>
      </c>
      <c r="N37" s="151">
        <f t="shared" si="3"/>
        <v>-212477238.44999987</v>
      </c>
    </row>
    <row r="38" spans="2:14" x14ac:dyDescent="0.2">
      <c r="B38" s="99" t="s">
        <v>84</v>
      </c>
      <c r="C38" s="100"/>
      <c r="D38" s="77"/>
      <c r="E38" s="151">
        <v>0</v>
      </c>
      <c r="F38" s="151">
        <v>0</v>
      </c>
      <c r="G38" s="79" t="str">
        <f t="shared" si="0"/>
        <v xml:space="preserve"> </v>
      </c>
      <c r="I38" s="151">
        <v>0</v>
      </c>
      <c r="J38" s="151">
        <v>0</v>
      </c>
      <c r="K38" s="79" t="str">
        <f t="shared" si="1"/>
        <v xml:space="preserve"> </v>
      </c>
      <c r="M38" s="151">
        <f t="shared" si="2"/>
        <v>0</v>
      </c>
      <c r="N38" s="151">
        <f t="shared" ref="N38:N43" si="8">+F38-J38</f>
        <v>0</v>
      </c>
    </row>
    <row r="39" spans="2:14" x14ac:dyDescent="0.2">
      <c r="B39" s="207" t="s">
        <v>85</v>
      </c>
      <c r="C39" s="207"/>
      <c r="D39" s="77"/>
      <c r="E39" s="151">
        <v>1273854</v>
      </c>
      <c r="F39" s="151">
        <v>795032.96000000008</v>
      </c>
      <c r="G39" s="79">
        <f t="shared" si="0"/>
        <v>0.62411623310049669</v>
      </c>
      <c r="I39" s="151">
        <v>4222614</v>
      </c>
      <c r="J39" s="151">
        <v>2328462.2800000003</v>
      </c>
      <c r="K39" s="79">
        <f t="shared" si="1"/>
        <v>0.5514267418239035</v>
      </c>
      <c r="M39" s="151">
        <f>+E39-I39</f>
        <v>-2948760</v>
      </c>
      <c r="N39" s="151">
        <f t="shared" si="8"/>
        <v>-1533429.3200000003</v>
      </c>
    </row>
    <row r="40" spans="2:14" x14ac:dyDescent="0.2">
      <c r="B40" s="207" t="s">
        <v>86</v>
      </c>
      <c r="C40" s="207"/>
      <c r="D40" s="77"/>
      <c r="E40" s="151">
        <v>25633372</v>
      </c>
      <c r="F40" s="151">
        <v>10457945.830000002</v>
      </c>
      <c r="G40" s="79">
        <f t="shared" si="0"/>
        <v>0.40798166663363689</v>
      </c>
      <c r="I40" s="151">
        <v>22293931</v>
      </c>
      <c r="J40" s="151">
        <v>14743972.279999999</v>
      </c>
      <c r="K40" s="79">
        <f t="shared" si="1"/>
        <v>0.66134466281428783</v>
      </c>
      <c r="M40" s="151">
        <f>+E40-I40</f>
        <v>3339441</v>
      </c>
      <c r="N40" s="151">
        <f t="shared" si="8"/>
        <v>-4286026.4499999974</v>
      </c>
    </row>
    <row r="41" spans="2:14" x14ac:dyDescent="0.2">
      <c r="B41" s="198" t="s">
        <v>87</v>
      </c>
      <c r="C41" s="198"/>
      <c r="D41" s="77"/>
      <c r="E41" s="155">
        <v>187764762</v>
      </c>
      <c r="F41" s="155">
        <v>67224973.430000007</v>
      </c>
      <c r="G41" s="82">
        <f t="shared" si="0"/>
        <v>0.35802763369412205</v>
      </c>
      <c r="I41" s="155">
        <v>303085598</v>
      </c>
      <c r="J41" s="155">
        <v>209582520.51000002</v>
      </c>
      <c r="K41" s="82">
        <f t="shared" si="1"/>
        <v>0.69149613803160659</v>
      </c>
      <c r="M41" s="155">
        <f>+E41-I41</f>
        <v>-115320836</v>
      </c>
      <c r="N41" s="155">
        <f t="shared" si="8"/>
        <v>-142357547.08000001</v>
      </c>
    </row>
    <row r="42" spans="2:14" ht="3.75" customHeight="1" x14ac:dyDescent="0.2">
      <c r="E42" s="157"/>
      <c r="F42" s="157"/>
      <c r="G42" s="74"/>
      <c r="I42" s="157">
        <v>0</v>
      </c>
      <c r="J42" s="157" t="s">
        <v>126</v>
      </c>
      <c r="K42" s="74" t="str">
        <f t="shared" si="1"/>
        <v xml:space="preserve"> </v>
      </c>
      <c r="M42" s="157"/>
      <c r="N42" s="157"/>
    </row>
    <row r="43" spans="2:14" ht="21" customHeight="1" x14ac:dyDescent="0.2">
      <c r="B43" s="205" t="s">
        <v>88</v>
      </c>
      <c r="C43" s="205"/>
      <c r="D43" s="41"/>
      <c r="E43" s="152">
        <f>+E34+E32+E30+E24+E21+E18+E15+E9</f>
        <v>10137971200</v>
      </c>
      <c r="F43" s="152">
        <f>+F34+F32+F30+F24+F21+F18+F15+F9</f>
        <v>4449820571.6900043</v>
      </c>
      <c r="G43" s="117">
        <f>IF(E43=0," ",F43/E43)</f>
        <v>0.43892614053687629</v>
      </c>
      <c r="I43" s="152">
        <f>+I34+I32+I30+I24+I21+I18+I15+I9</f>
        <v>11392046740</v>
      </c>
      <c r="J43" s="152">
        <f>+J34+J32+J30+J24+J21+J18+J15+J9</f>
        <v>7875684116.2000141</v>
      </c>
      <c r="K43" s="117">
        <f>IF(I43=0," ",J43/I43)</f>
        <v>0.69133179453580917</v>
      </c>
      <c r="M43" s="152">
        <f>+E43-I43</f>
        <v>-1254075540</v>
      </c>
      <c r="N43" s="152">
        <f t="shared" si="8"/>
        <v>-3425863544.5100098</v>
      </c>
    </row>
    <row r="44" spans="2:14" x14ac:dyDescent="0.2">
      <c r="B44" s="58" t="s">
        <v>148</v>
      </c>
    </row>
    <row r="45" spans="2:14" x14ac:dyDescent="0.2">
      <c r="B45" s="57" t="s">
        <v>134</v>
      </c>
    </row>
    <row r="46" spans="2:14" x14ac:dyDescent="0.2">
      <c r="B46" s="1"/>
    </row>
  </sheetData>
  <mergeCells count="41">
    <mergeCell ref="B43:C43"/>
    <mergeCell ref="B30:C30"/>
    <mergeCell ref="B31:C31"/>
    <mergeCell ref="B32:C32"/>
    <mergeCell ref="B41:C41"/>
    <mergeCell ref="B40:C40"/>
    <mergeCell ref="B39:C39"/>
    <mergeCell ref="B37:C37"/>
    <mergeCell ref="B35:C35"/>
    <mergeCell ref="B34:C34"/>
    <mergeCell ref="B33:C33"/>
    <mergeCell ref="B36:C36"/>
    <mergeCell ref="B9:C9"/>
    <mergeCell ref="B15:C15"/>
    <mergeCell ref="B18:C18"/>
    <mergeCell ref="B21:C21"/>
    <mergeCell ref="B7:C8"/>
    <mergeCell ref="B10:C10"/>
    <mergeCell ref="B11:C11"/>
    <mergeCell ref="B12:C12"/>
    <mergeCell ref="B14:C14"/>
    <mergeCell ref="B23:C23"/>
    <mergeCell ref="B13:C13"/>
    <mergeCell ref="B20:C20"/>
    <mergeCell ref="B19:C19"/>
    <mergeCell ref="M7:N7"/>
    <mergeCell ref="E7:G7"/>
    <mergeCell ref="B5:C5"/>
    <mergeCell ref="B1:N1"/>
    <mergeCell ref="B2:N2"/>
    <mergeCell ref="B3:N3"/>
    <mergeCell ref="I7:K7"/>
    <mergeCell ref="B29:C29"/>
    <mergeCell ref="B28:C28"/>
    <mergeCell ref="B27:C27"/>
    <mergeCell ref="B26:C26"/>
    <mergeCell ref="B16:C16"/>
    <mergeCell ref="B17:C17"/>
    <mergeCell ref="B24:C24"/>
    <mergeCell ref="B22:C22"/>
    <mergeCell ref="B25:C25"/>
  </mergeCells>
  <phoneticPr fontId="21" type="noConversion"/>
  <pageMargins left="0.78740157480314965" right="0.78740157480314965" top="0.78740157480314965" bottom="0.78740157480314965" header="0" footer="0"/>
  <pageSetup scale="69" orientation="landscape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1"/>
  <sheetViews>
    <sheetView showGridLines="0" showZeros="0" zoomScale="115" zoomScaleNormal="115" workbookViewId="0">
      <selection sqref="A1:W1"/>
    </sheetView>
  </sheetViews>
  <sheetFormatPr baseColWidth="10" defaultColWidth="16.85546875" defaultRowHeight="15" x14ac:dyDescent="0.2"/>
  <cols>
    <col min="1" max="1" width="35" style="34" customWidth="1"/>
    <col min="2" max="2" width="14.28515625" style="34" customWidth="1"/>
    <col min="3" max="3" width="13.7109375" style="34" customWidth="1"/>
    <col min="4" max="4" width="12.85546875" style="34" customWidth="1"/>
    <col min="5" max="5" width="12" style="34" customWidth="1"/>
    <col min="6" max="6" width="12.85546875" style="34" customWidth="1"/>
    <col min="7" max="7" width="11.85546875" style="34" customWidth="1"/>
    <col min="8" max="9" width="12" style="34" customWidth="1"/>
    <col min="10" max="10" width="10.7109375" style="34" customWidth="1"/>
    <col min="11" max="11" width="12.42578125" style="34" customWidth="1"/>
    <col min="12" max="12" width="11.5703125" style="34" customWidth="1"/>
    <col min="13" max="13" width="12" style="34" customWidth="1"/>
    <col min="14" max="15" width="11.5703125" style="34" customWidth="1"/>
    <col min="16" max="16" width="10.7109375" style="34" bestFit="1" customWidth="1"/>
    <col min="17" max="19" width="9.7109375" style="34" customWidth="1"/>
    <col min="20" max="22" width="12.85546875" style="34" bestFit="1" customWidth="1"/>
    <col min="23" max="23" width="7.7109375" style="91" bestFit="1" customWidth="1"/>
    <col min="24" max="16384" width="16.85546875" style="34"/>
  </cols>
  <sheetData>
    <row r="1" spans="1:25" ht="20.25" x14ac:dyDescent="0.2">
      <c r="A1" s="213" t="s">
        <v>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</row>
    <row r="2" spans="1:25" ht="18.75" x14ac:dyDescent="0.2">
      <c r="A2" s="211" t="s">
        <v>12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</row>
    <row r="3" spans="1:25" x14ac:dyDescent="0.2">
      <c r="A3" s="212" t="s">
        <v>108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</row>
    <row r="4" spans="1:25" ht="15.75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5" x14ac:dyDescent="0.2">
      <c r="A5" s="52" t="s">
        <v>23</v>
      </c>
      <c r="H5" s="53"/>
      <c r="W5" s="87"/>
    </row>
    <row r="6" spans="1:25" x14ac:dyDescent="0.2">
      <c r="A6" s="52" t="s">
        <v>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W6" s="87"/>
    </row>
    <row r="7" spans="1:25" ht="15.75" thickBot="1" x14ac:dyDescent="0.25">
      <c r="A7" s="52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87"/>
    </row>
    <row r="8" spans="1:25" ht="15.75" thickBot="1" x14ac:dyDescent="0.25">
      <c r="A8" s="52"/>
      <c r="B8" s="214" t="s">
        <v>26</v>
      </c>
      <c r="C8" s="215"/>
      <c r="D8" s="216"/>
      <c r="E8" s="214" t="s">
        <v>133</v>
      </c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6"/>
    </row>
    <row r="9" spans="1:25" ht="22.5" customHeight="1" x14ac:dyDescent="0.2">
      <c r="A9" s="217" t="s">
        <v>125</v>
      </c>
      <c r="B9" s="222" t="s">
        <v>24</v>
      </c>
      <c r="C9" s="223"/>
      <c r="D9" s="224"/>
      <c r="E9" s="222" t="s">
        <v>28</v>
      </c>
      <c r="F9" s="223"/>
      <c r="G9" s="224"/>
      <c r="H9" s="208" t="s">
        <v>29</v>
      </c>
      <c r="I9" s="209"/>
      <c r="J9" s="210"/>
      <c r="K9" s="208" t="s">
        <v>127</v>
      </c>
      <c r="L9" s="209"/>
      <c r="M9" s="210"/>
      <c r="N9" s="208" t="s">
        <v>30</v>
      </c>
      <c r="O9" s="209"/>
      <c r="P9" s="210"/>
      <c r="Q9" s="208" t="s">
        <v>129</v>
      </c>
      <c r="R9" s="209"/>
      <c r="S9" s="210"/>
      <c r="T9" s="219" t="s">
        <v>4</v>
      </c>
      <c r="U9" s="220"/>
      <c r="V9" s="220"/>
      <c r="W9" s="221"/>
    </row>
    <row r="10" spans="1:25" x14ac:dyDescent="0.2">
      <c r="A10" s="218"/>
      <c r="B10" s="119">
        <v>2024</v>
      </c>
      <c r="C10" s="120">
        <v>2025</v>
      </c>
      <c r="D10" s="121" t="s">
        <v>13</v>
      </c>
      <c r="E10" s="119">
        <v>2024</v>
      </c>
      <c r="F10" s="120">
        <v>2025</v>
      </c>
      <c r="G10" s="121" t="s">
        <v>13</v>
      </c>
      <c r="H10" s="119">
        <v>2024</v>
      </c>
      <c r="I10" s="120">
        <v>2025</v>
      </c>
      <c r="J10" s="121" t="s">
        <v>13</v>
      </c>
      <c r="K10" s="119">
        <v>2024</v>
      </c>
      <c r="L10" s="120">
        <v>2025</v>
      </c>
      <c r="M10" s="121" t="s">
        <v>13</v>
      </c>
      <c r="N10" s="119">
        <v>2024</v>
      </c>
      <c r="O10" s="120">
        <v>2025</v>
      </c>
      <c r="P10" s="121" t="s">
        <v>13</v>
      </c>
      <c r="Q10" s="119">
        <v>2024</v>
      </c>
      <c r="R10" s="120">
        <v>2025</v>
      </c>
      <c r="S10" s="121" t="s">
        <v>13</v>
      </c>
      <c r="T10" s="119">
        <v>2024</v>
      </c>
      <c r="U10" s="120">
        <v>2025</v>
      </c>
      <c r="V10" s="120" t="s">
        <v>13</v>
      </c>
      <c r="W10" s="122" t="s">
        <v>14</v>
      </c>
    </row>
    <row r="11" spans="1:25" ht="5.0999999999999996" customHeight="1" x14ac:dyDescent="0.2">
      <c r="A11" s="35"/>
      <c r="B11" s="54"/>
      <c r="C11" s="55"/>
      <c r="D11" s="56"/>
      <c r="E11" s="54"/>
      <c r="F11" s="55"/>
      <c r="G11" s="56"/>
      <c r="H11" s="54"/>
      <c r="I11" s="55"/>
      <c r="J11" s="56"/>
      <c r="K11" s="54"/>
      <c r="L11" s="55"/>
      <c r="M11" s="56"/>
      <c r="N11" s="54"/>
      <c r="O11" s="55"/>
      <c r="P11" s="56"/>
      <c r="Q11" s="54"/>
      <c r="R11" s="55"/>
      <c r="S11" s="56"/>
      <c r="T11" s="54"/>
      <c r="U11" s="55"/>
      <c r="V11" s="55"/>
      <c r="W11" s="88"/>
    </row>
    <row r="12" spans="1:25" x14ac:dyDescent="0.2">
      <c r="A12" s="118" t="s">
        <v>15</v>
      </c>
      <c r="B12" s="158">
        <f>SUM(B14:B18)</f>
        <v>8735723716</v>
      </c>
      <c r="C12" s="159">
        <f>SUM(C14:C18)</f>
        <v>9414620767</v>
      </c>
      <c r="D12" s="160">
        <f>+C12-B12</f>
        <v>678897051</v>
      </c>
      <c r="E12" s="158">
        <f>SUM(E14:E18)</f>
        <v>3792941734.9800034</v>
      </c>
      <c r="F12" s="159">
        <f>SUM(F14:F18)</f>
        <v>6127074076.9600096</v>
      </c>
      <c r="G12" s="160">
        <f>+F12-E12</f>
        <v>2334132341.9800062</v>
      </c>
      <c r="H12" s="158">
        <f>SUM(H14:H18)</f>
        <v>0</v>
      </c>
      <c r="I12" s="159">
        <f>SUM(I14:I18)</f>
        <v>46858804.629999995</v>
      </c>
      <c r="J12" s="160">
        <f>+I12-H12</f>
        <v>46858804.629999995</v>
      </c>
      <c r="K12" s="158">
        <f>SUM(K14:K18)</f>
        <v>0</v>
      </c>
      <c r="L12" s="159">
        <f>SUM(L14:L18)</f>
        <v>0</v>
      </c>
      <c r="M12" s="160">
        <f>+L12-K12</f>
        <v>0</v>
      </c>
      <c r="N12" s="158">
        <f>SUM(N14:N18)</f>
        <v>287297646.23000002</v>
      </c>
      <c r="O12" s="159">
        <f>SUM(O14:O18)</f>
        <v>420315455.26999992</v>
      </c>
      <c r="P12" s="160">
        <f>+O12-N12</f>
        <v>133017809.0399999</v>
      </c>
      <c r="Q12" s="158">
        <f>SUM(Q14:Q18)</f>
        <v>0</v>
      </c>
      <c r="R12" s="159">
        <f>SUM(R14:R18)</f>
        <v>739747</v>
      </c>
      <c r="S12" s="160">
        <f>+R12-Q12</f>
        <v>739747</v>
      </c>
      <c r="T12" s="158">
        <f>SUM(T14:T18)</f>
        <v>4080239381.2100034</v>
      </c>
      <c r="U12" s="159">
        <f>SUM(U14:U18)</f>
        <v>6594988083.8600092</v>
      </c>
      <c r="V12" s="159">
        <f>+U12-T12</f>
        <v>2514748702.6500058</v>
      </c>
      <c r="W12" s="89">
        <f>IF(T12=0,"",V12/T12)</f>
        <v>0.61632381527190006</v>
      </c>
      <c r="X12" s="37"/>
    </row>
    <row r="13" spans="1:25" ht="5.0999999999999996" customHeight="1" x14ac:dyDescent="0.2">
      <c r="A13" s="35"/>
      <c r="B13" s="163"/>
      <c r="C13" s="164"/>
      <c r="D13" s="165"/>
      <c r="E13" s="163"/>
      <c r="F13" s="164"/>
      <c r="G13" s="165"/>
      <c r="H13" s="163"/>
      <c r="I13" s="164"/>
      <c r="J13" s="165"/>
      <c r="K13" s="163"/>
      <c r="L13" s="164"/>
      <c r="M13" s="165"/>
      <c r="N13" s="163"/>
      <c r="O13" s="164"/>
      <c r="P13" s="165"/>
      <c r="Q13" s="163"/>
      <c r="R13" s="164"/>
      <c r="S13" s="165"/>
      <c r="T13" s="163"/>
      <c r="U13" s="164"/>
      <c r="V13" s="164"/>
      <c r="W13" s="88" t="str">
        <f t="shared" ref="W13:W25" si="0">IF(T13=0,"",V13/T13)</f>
        <v/>
      </c>
    </row>
    <row r="14" spans="1:25" x14ac:dyDescent="0.2">
      <c r="A14" s="101" t="s">
        <v>36</v>
      </c>
      <c r="B14" s="163">
        <f>+Egresos_1!F20</f>
        <v>4597655658</v>
      </c>
      <c r="C14" s="164">
        <f>+Egresos_1!J20</f>
        <v>4968785327</v>
      </c>
      <c r="D14" s="165">
        <f>+C14-B14</f>
        <v>371129669</v>
      </c>
      <c r="E14" s="163">
        <v>2227071307.7100034</v>
      </c>
      <c r="F14" s="164">
        <v>3537318969.6900115</v>
      </c>
      <c r="G14" s="165">
        <f>+F14-E14</f>
        <v>1310247661.9800081</v>
      </c>
      <c r="H14" s="163">
        <v>0</v>
      </c>
      <c r="I14" s="164">
        <v>0</v>
      </c>
      <c r="J14" s="165">
        <f>+I14-H14</f>
        <v>0</v>
      </c>
      <c r="K14" s="163">
        <v>0</v>
      </c>
      <c r="L14" s="164">
        <v>0</v>
      </c>
      <c r="M14" s="165">
        <f>+L14-K14</f>
        <v>0</v>
      </c>
      <c r="N14" s="163">
        <v>0</v>
      </c>
      <c r="O14" s="164">
        <v>0</v>
      </c>
      <c r="P14" s="165">
        <f>+O14-N14</f>
        <v>0</v>
      </c>
      <c r="Q14" s="163">
        <v>0</v>
      </c>
      <c r="R14" s="164">
        <v>0</v>
      </c>
      <c r="S14" s="165">
        <f>+R14-Q14</f>
        <v>0</v>
      </c>
      <c r="T14" s="163">
        <f t="shared" ref="T14:U18" si="1">+E14+H14+K14+N14+Q14</f>
        <v>2227071307.7100034</v>
      </c>
      <c r="U14" s="164">
        <f t="shared" si="1"/>
        <v>3537318969.6900115</v>
      </c>
      <c r="V14" s="164">
        <f>+U14-T14</f>
        <v>1310247661.9800081</v>
      </c>
      <c r="W14" s="88">
        <f t="shared" si="0"/>
        <v>0.58832766487718635</v>
      </c>
      <c r="Y14" s="36"/>
    </row>
    <row r="15" spans="1:25" x14ac:dyDescent="0.2">
      <c r="A15" s="101" t="s">
        <v>37</v>
      </c>
      <c r="B15" s="163">
        <f>+Egresos_1!F21</f>
        <v>154142804</v>
      </c>
      <c r="C15" s="164">
        <f>+Egresos_1!J21</f>
        <v>150963031</v>
      </c>
      <c r="D15" s="165">
        <f>+C15-B15</f>
        <v>-3179773</v>
      </c>
      <c r="E15" s="163">
        <v>74446681.769999996</v>
      </c>
      <c r="F15" s="164">
        <v>110253907.48999998</v>
      </c>
      <c r="G15" s="165">
        <f>+F15-E15</f>
        <v>35807225.719999984</v>
      </c>
      <c r="H15" s="163">
        <v>0</v>
      </c>
      <c r="I15" s="164">
        <v>0</v>
      </c>
      <c r="J15" s="165">
        <f>+I15-H15</f>
        <v>0</v>
      </c>
      <c r="K15" s="163">
        <v>0</v>
      </c>
      <c r="L15" s="164">
        <v>0</v>
      </c>
      <c r="M15" s="165">
        <f>+L15-K15</f>
        <v>0</v>
      </c>
      <c r="N15" s="163">
        <v>0</v>
      </c>
      <c r="O15" s="164">
        <v>0</v>
      </c>
      <c r="P15" s="165">
        <f>+O15-N15</f>
        <v>0</v>
      </c>
      <c r="Q15" s="163">
        <v>0</v>
      </c>
      <c r="R15" s="164">
        <v>0</v>
      </c>
      <c r="S15" s="165">
        <f>+R15-Q15</f>
        <v>0</v>
      </c>
      <c r="T15" s="163">
        <f t="shared" si="1"/>
        <v>74446681.769999996</v>
      </c>
      <c r="U15" s="164">
        <f t="shared" si="1"/>
        <v>110253907.48999998</v>
      </c>
      <c r="V15" s="164">
        <f>+U15-T15</f>
        <v>35807225.719999984</v>
      </c>
      <c r="W15" s="88">
        <f t="shared" si="0"/>
        <v>0.48097812916128291</v>
      </c>
      <c r="Y15" s="36"/>
    </row>
    <row r="16" spans="1:25" x14ac:dyDescent="0.2">
      <c r="A16" s="101" t="s">
        <v>38</v>
      </c>
      <c r="B16" s="163">
        <f>+Egresos_1!F22</f>
        <v>3245083393</v>
      </c>
      <c r="C16" s="164">
        <f>+Egresos_1!J22</f>
        <v>3612578906</v>
      </c>
      <c r="D16" s="165">
        <f>+C16-B16</f>
        <v>367495513</v>
      </c>
      <c r="E16" s="163">
        <v>898255952.00999975</v>
      </c>
      <c r="F16" s="164">
        <v>1848261304.7599983</v>
      </c>
      <c r="G16" s="165">
        <f>+F16-E16</f>
        <v>950005352.74999857</v>
      </c>
      <c r="H16" s="163">
        <v>0</v>
      </c>
      <c r="I16" s="164">
        <v>46221868.579999998</v>
      </c>
      <c r="J16" s="165">
        <f>+I16-H16</f>
        <v>46221868.579999998</v>
      </c>
      <c r="K16" s="163">
        <v>0</v>
      </c>
      <c r="L16" s="164">
        <v>0</v>
      </c>
      <c r="M16" s="165">
        <f>+L16-K16</f>
        <v>0</v>
      </c>
      <c r="N16" s="163">
        <v>287297646.23000002</v>
      </c>
      <c r="O16" s="164">
        <v>420315455.26999992</v>
      </c>
      <c r="P16" s="165">
        <f>+O16-N16</f>
        <v>133017809.0399999</v>
      </c>
      <c r="Q16" s="163">
        <v>0</v>
      </c>
      <c r="R16" s="164">
        <v>739747</v>
      </c>
      <c r="S16" s="165">
        <f>+R16-Q16</f>
        <v>739747</v>
      </c>
      <c r="T16" s="163">
        <f t="shared" si="1"/>
        <v>1185553598.2399998</v>
      </c>
      <c r="U16" s="164">
        <f t="shared" si="1"/>
        <v>2315538375.6099982</v>
      </c>
      <c r="V16" s="164">
        <f>+U16-T16</f>
        <v>1129984777.3699985</v>
      </c>
      <c r="W16" s="88">
        <f>IF(T16=0,"",V16/T16)</f>
        <v>0.95312837736522804</v>
      </c>
      <c r="Y16" s="36"/>
    </row>
    <row r="17" spans="1:25" x14ac:dyDescent="0.2">
      <c r="A17" s="101" t="s">
        <v>99</v>
      </c>
      <c r="B17" s="163">
        <f>+Egresos_1!F23</f>
        <v>614179907</v>
      </c>
      <c r="C17" s="164">
        <f>+Egresos_1!J23</f>
        <v>568928017</v>
      </c>
      <c r="D17" s="165">
        <f>+C17-B17</f>
        <v>-45251890</v>
      </c>
      <c r="E17" s="163">
        <v>526457259.05000013</v>
      </c>
      <c r="F17" s="164">
        <v>539050338.1099999</v>
      </c>
      <c r="G17" s="165">
        <f>+F17-E17</f>
        <v>12593079.059999764</v>
      </c>
      <c r="H17" s="163">
        <v>0</v>
      </c>
      <c r="I17" s="164">
        <v>0</v>
      </c>
      <c r="J17" s="165">
        <f>+I17-H17</f>
        <v>0</v>
      </c>
      <c r="K17" s="163">
        <v>0</v>
      </c>
      <c r="L17" s="164">
        <v>0</v>
      </c>
      <c r="M17" s="165">
        <f>+L17-K17</f>
        <v>0</v>
      </c>
      <c r="N17" s="163">
        <v>0</v>
      </c>
      <c r="O17" s="164">
        <v>0</v>
      </c>
      <c r="P17" s="165">
        <f>+O17-N17</f>
        <v>0</v>
      </c>
      <c r="Q17" s="163">
        <v>0</v>
      </c>
      <c r="R17" s="164">
        <v>0</v>
      </c>
      <c r="S17" s="165">
        <f>+R17-Q17</f>
        <v>0</v>
      </c>
      <c r="T17" s="163">
        <f t="shared" si="1"/>
        <v>526457259.05000013</v>
      </c>
      <c r="U17" s="164">
        <f t="shared" si="1"/>
        <v>539050338.1099999</v>
      </c>
      <c r="V17" s="164">
        <f>+U17-T17</f>
        <v>12593079.059999764</v>
      </c>
      <c r="W17" s="88">
        <f>IF(T17=0,"",V17/T17)</f>
        <v>2.3920420591643395E-2</v>
      </c>
      <c r="Y17" s="36"/>
    </row>
    <row r="18" spans="1:25" x14ac:dyDescent="0.2">
      <c r="A18" s="101" t="s">
        <v>61</v>
      </c>
      <c r="B18" s="163">
        <f>+Egresos_1!F24</f>
        <v>124661954</v>
      </c>
      <c r="C18" s="164">
        <f>+Egresos_1!J24</f>
        <v>113365486</v>
      </c>
      <c r="D18" s="165">
        <f>+C18-B18</f>
        <v>-11296468</v>
      </c>
      <c r="E18" s="163">
        <v>66710534.439999998</v>
      </c>
      <c r="F18" s="164">
        <v>92189556.910000011</v>
      </c>
      <c r="G18" s="165">
        <f>+F18-E18</f>
        <v>25479022.470000014</v>
      </c>
      <c r="H18" s="163">
        <v>0</v>
      </c>
      <c r="I18" s="164">
        <v>636936.05000000005</v>
      </c>
      <c r="J18" s="165">
        <f>+I18-H18</f>
        <v>636936.05000000005</v>
      </c>
      <c r="K18" s="163">
        <v>0</v>
      </c>
      <c r="L18" s="164">
        <v>0</v>
      </c>
      <c r="M18" s="165">
        <f>+L18-K18</f>
        <v>0</v>
      </c>
      <c r="N18" s="163">
        <v>0</v>
      </c>
      <c r="O18" s="164">
        <v>0</v>
      </c>
      <c r="P18" s="165">
        <f>+O18-N18</f>
        <v>0</v>
      </c>
      <c r="Q18" s="163">
        <v>0</v>
      </c>
      <c r="R18" s="164">
        <v>0</v>
      </c>
      <c r="S18" s="165">
        <f>+R18-Q18</f>
        <v>0</v>
      </c>
      <c r="T18" s="163">
        <f t="shared" si="1"/>
        <v>66710534.439999998</v>
      </c>
      <c r="U18" s="164">
        <f t="shared" si="1"/>
        <v>92826492.960000008</v>
      </c>
      <c r="V18" s="164">
        <f>+U18-T18</f>
        <v>26115958.520000011</v>
      </c>
      <c r="W18" s="88">
        <f>IF(T18=0,"",V18/T18)</f>
        <v>0.39148177629260217</v>
      </c>
      <c r="Y18" s="36"/>
    </row>
    <row r="19" spans="1:25" ht="5.0999999999999996" customHeight="1" x14ac:dyDescent="0.2">
      <c r="A19" s="35"/>
      <c r="B19" s="163"/>
      <c r="C19" s="164"/>
      <c r="D19" s="165"/>
      <c r="E19" s="163"/>
      <c r="F19" s="164"/>
      <c r="G19" s="165"/>
      <c r="H19" s="163"/>
      <c r="I19" s="164"/>
      <c r="J19" s="165"/>
      <c r="K19" s="163"/>
      <c r="L19" s="164"/>
      <c r="M19" s="165"/>
      <c r="N19" s="163"/>
      <c r="O19" s="164"/>
      <c r="P19" s="165"/>
      <c r="Q19" s="163"/>
      <c r="R19" s="164"/>
      <c r="S19" s="165"/>
      <c r="T19" s="163"/>
      <c r="U19" s="164"/>
      <c r="V19" s="164"/>
      <c r="W19" s="88" t="str">
        <f t="shared" si="0"/>
        <v/>
      </c>
    </row>
    <row r="20" spans="1:25" x14ac:dyDescent="0.2">
      <c r="A20" s="118" t="s">
        <v>16</v>
      </c>
      <c r="B20" s="158">
        <f>+B22+B23</f>
        <v>1402247484</v>
      </c>
      <c r="C20" s="161">
        <f>+C22+C23</f>
        <v>1977425973</v>
      </c>
      <c r="D20" s="160">
        <f>+C20-B20</f>
        <v>575178489</v>
      </c>
      <c r="E20" s="158">
        <f>+E22+E23</f>
        <v>354843699.54999971</v>
      </c>
      <c r="F20" s="161">
        <f>+F22+F23</f>
        <v>1230791955.2500002</v>
      </c>
      <c r="G20" s="160">
        <f>+F20-E20</f>
        <v>875948255.70000052</v>
      </c>
      <c r="H20" s="158">
        <f>+H22+H23</f>
        <v>0</v>
      </c>
      <c r="I20" s="161">
        <f>+I22+I23</f>
        <v>1949909.3300000008</v>
      </c>
      <c r="J20" s="160">
        <f>+I20-H20</f>
        <v>1949909.3300000008</v>
      </c>
      <c r="K20" s="158">
        <f>+K22+K23</f>
        <v>13346184.809999999</v>
      </c>
      <c r="L20" s="161">
        <f>+L22+L23</f>
        <v>38258519.000000007</v>
      </c>
      <c r="M20" s="162">
        <f>+L20-K20</f>
        <v>24912334.190000009</v>
      </c>
      <c r="N20" s="158">
        <f>+N22+N23</f>
        <v>1391306.1199999992</v>
      </c>
      <c r="O20" s="161">
        <f>+O22+O23</f>
        <v>9052817.0500000007</v>
      </c>
      <c r="P20" s="160">
        <f>+O20-N20</f>
        <v>7661510.9300000016</v>
      </c>
      <c r="Q20" s="158">
        <f>+Q22+Q23</f>
        <v>0</v>
      </c>
      <c r="R20" s="161">
        <f>+R22+R23</f>
        <v>642831.71</v>
      </c>
      <c r="S20" s="160">
        <f>+R20-Q20</f>
        <v>642831.71</v>
      </c>
      <c r="T20" s="158">
        <f>+T22+T23</f>
        <v>369581190.47999972</v>
      </c>
      <c r="U20" s="161">
        <f>+U22+U23</f>
        <v>1280696032.3400002</v>
      </c>
      <c r="V20" s="159">
        <f>+U20-T20</f>
        <v>911114841.86000037</v>
      </c>
      <c r="W20" s="89">
        <f t="shared" si="0"/>
        <v>2.4652630202220918</v>
      </c>
      <c r="X20" s="37"/>
    </row>
    <row r="21" spans="1:25" ht="5.0999999999999996" customHeight="1" x14ac:dyDescent="0.2">
      <c r="A21" s="35"/>
      <c r="B21" s="163"/>
      <c r="C21" s="164"/>
      <c r="D21" s="165"/>
      <c r="E21" s="163"/>
      <c r="F21" s="164"/>
      <c r="G21" s="165"/>
      <c r="H21" s="163"/>
      <c r="I21" s="164"/>
      <c r="J21" s="165"/>
      <c r="K21" s="163"/>
      <c r="L21" s="164"/>
      <c r="M21" s="165"/>
      <c r="N21" s="163"/>
      <c r="O21" s="164"/>
      <c r="P21" s="165"/>
      <c r="Q21" s="163"/>
      <c r="R21" s="164"/>
      <c r="S21" s="165"/>
      <c r="T21" s="163"/>
      <c r="U21" s="164"/>
      <c r="V21" s="164"/>
      <c r="W21" s="88" t="str">
        <f t="shared" si="0"/>
        <v/>
      </c>
      <c r="X21" s="37"/>
    </row>
    <row r="22" spans="1:25" x14ac:dyDescent="0.2">
      <c r="A22" s="101" t="s">
        <v>99</v>
      </c>
      <c r="B22" s="163">
        <f>+Egresos_1!F26</f>
        <v>115909615</v>
      </c>
      <c r="C22" s="164">
        <f>+Egresos_1!J26</f>
        <v>0</v>
      </c>
      <c r="D22" s="165">
        <f>+C22-B22</f>
        <v>-115909615</v>
      </c>
      <c r="E22" s="163">
        <v>1030219</v>
      </c>
      <c r="F22" s="164"/>
      <c r="G22" s="165">
        <f>+F22-E22</f>
        <v>-1030219</v>
      </c>
      <c r="H22" s="163">
        <v>0</v>
      </c>
      <c r="I22" s="164">
        <v>0</v>
      </c>
      <c r="J22" s="165">
        <f>+I22-H22</f>
        <v>0</v>
      </c>
      <c r="K22" s="163">
        <v>0</v>
      </c>
      <c r="L22" s="164">
        <v>0</v>
      </c>
      <c r="M22" s="165">
        <f>+L22-K22</f>
        <v>0</v>
      </c>
      <c r="N22" s="163">
        <v>0</v>
      </c>
      <c r="O22" s="164">
        <v>0</v>
      </c>
      <c r="P22" s="165">
        <f>+O22-N22</f>
        <v>0</v>
      </c>
      <c r="Q22" s="163">
        <v>0</v>
      </c>
      <c r="R22" s="164">
        <v>0</v>
      </c>
      <c r="S22" s="165">
        <f>+R22-Q22</f>
        <v>0</v>
      </c>
      <c r="T22" s="163">
        <f>+E22+H22+K22+N22+Q22</f>
        <v>1030219</v>
      </c>
      <c r="U22" s="166">
        <f>+F22+I22+L22+O22+R22</f>
        <v>0</v>
      </c>
      <c r="V22" s="164">
        <f>+U22-T22</f>
        <v>-1030219</v>
      </c>
      <c r="W22" s="88">
        <f t="shared" si="0"/>
        <v>-1</v>
      </c>
      <c r="X22" s="37"/>
    </row>
    <row r="23" spans="1:25" x14ac:dyDescent="0.2">
      <c r="A23" s="73" t="s">
        <v>39</v>
      </c>
      <c r="B23" s="158">
        <f>+B24+B25</f>
        <v>1286337869</v>
      </c>
      <c r="C23" s="159">
        <f>+C24+C25</f>
        <v>1977425973</v>
      </c>
      <c r="D23" s="160">
        <f>+C23-B23</f>
        <v>691088104</v>
      </c>
      <c r="E23" s="158">
        <f>+E24+E25</f>
        <v>353813480.54999971</v>
      </c>
      <c r="F23" s="159">
        <f>+F24+F25</f>
        <v>1230791955.2500002</v>
      </c>
      <c r="G23" s="160">
        <f>+F23-E23</f>
        <v>876978474.70000052</v>
      </c>
      <c r="H23" s="158">
        <f>+H24+H25</f>
        <v>0</v>
      </c>
      <c r="I23" s="159">
        <f>+I24+I25</f>
        <v>1949909.3300000008</v>
      </c>
      <c r="J23" s="160">
        <f>+I23-H23</f>
        <v>1949909.3300000008</v>
      </c>
      <c r="K23" s="158">
        <f>+K24+K25</f>
        <v>13346184.809999999</v>
      </c>
      <c r="L23" s="159">
        <f>+L24+L25</f>
        <v>38258519.000000007</v>
      </c>
      <c r="M23" s="160">
        <f>+L23-K23</f>
        <v>24912334.190000009</v>
      </c>
      <c r="N23" s="158">
        <f>+N24+N25</f>
        <v>1391306.1199999992</v>
      </c>
      <c r="O23" s="159">
        <f>+O24+O25</f>
        <v>9052817.0500000007</v>
      </c>
      <c r="P23" s="160">
        <f>+O23-N23</f>
        <v>7661510.9300000016</v>
      </c>
      <c r="Q23" s="158">
        <f>+Q24+Q25</f>
        <v>0</v>
      </c>
      <c r="R23" s="159">
        <f>+R24+R25</f>
        <v>642831.71</v>
      </c>
      <c r="S23" s="160">
        <f>+R23-Q23</f>
        <v>642831.71</v>
      </c>
      <c r="T23" s="158">
        <f>SUM(T24:T25)</f>
        <v>368550971.47999972</v>
      </c>
      <c r="U23" s="159">
        <f>SUM(U24:U25)</f>
        <v>1280696032.3400002</v>
      </c>
      <c r="V23" s="159">
        <f>+U23-T23</f>
        <v>912145060.86000037</v>
      </c>
      <c r="W23" s="89">
        <f t="shared" si="0"/>
        <v>2.4749495495753973</v>
      </c>
      <c r="Y23" s="36"/>
    </row>
    <row r="24" spans="1:25" x14ac:dyDescent="0.2">
      <c r="A24" s="102" t="s">
        <v>57</v>
      </c>
      <c r="B24" s="163">
        <f>+Egresos_1!F29</f>
        <v>1235769264</v>
      </c>
      <c r="C24" s="164">
        <f>+Egresos_1!J29</f>
        <v>1913501457</v>
      </c>
      <c r="D24" s="165">
        <f>+C24-B24</f>
        <v>677732193</v>
      </c>
      <c r="E24" s="163">
        <v>348443564.78999972</v>
      </c>
      <c r="F24" s="167">
        <v>1210124935.3200002</v>
      </c>
      <c r="G24" s="165">
        <f>+F24-E24</f>
        <v>861681370.53000045</v>
      </c>
      <c r="H24" s="163">
        <v>0</v>
      </c>
      <c r="I24" s="167">
        <v>0</v>
      </c>
      <c r="J24" s="165">
        <f>+I24-H24</f>
        <v>0</v>
      </c>
      <c r="K24" s="163">
        <v>13346184.809999999</v>
      </c>
      <c r="L24" s="167">
        <v>38258519.000000007</v>
      </c>
      <c r="M24" s="165">
        <f>+L24-K24</f>
        <v>24912334.190000009</v>
      </c>
      <c r="N24" s="163">
        <v>0</v>
      </c>
      <c r="O24" s="167">
        <v>6880658.5900000008</v>
      </c>
      <c r="P24" s="165">
        <f>+O24-N24</f>
        <v>6880658.5900000008</v>
      </c>
      <c r="Q24" s="163">
        <v>0</v>
      </c>
      <c r="R24" s="167">
        <v>0</v>
      </c>
      <c r="S24" s="165">
        <f>+R24-Q24</f>
        <v>0</v>
      </c>
      <c r="T24" s="163">
        <f>+E24+H24+K24+N24+Q24</f>
        <v>361789749.59999973</v>
      </c>
      <c r="U24" s="164">
        <f>+F24+I24+L24+O24+R24</f>
        <v>1255264112.9100001</v>
      </c>
      <c r="V24" s="164">
        <f>+U24-T24</f>
        <v>893474363.31000042</v>
      </c>
      <c r="W24" s="88">
        <f t="shared" si="0"/>
        <v>2.4695955711786732</v>
      </c>
      <c r="Y24" s="36"/>
    </row>
    <row r="25" spans="1:25" ht="15.75" thickBot="1" x14ac:dyDescent="0.25">
      <c r="A25" s="103" t="s">
        <v>58</v>
      </c>
      <c r="B25" s="163">
        <f>+Egresos_1!F30</f>
        <v>50568605</v>
      </c>
      <c r="C25" s="167">
        <f>+Egresos_1!J30</f>
        <v>63924516</v>
      </c>
      <c r="D25" s="165">
        <f>+C25-B25</f>
        <v>13355911</v>
      </c>
      <c r="E25" s="163">
        <v>5369915.7599999988</v>
      </c>
      <c r="F25" s="168">
        <v>20667019.930000007</v>
      </c>
      <c r="G25" s="165">
        <f>+F25-E25</f>
        <v>15297104.170000009</v>
      </c>
      <c r="H25" s="163">
        <v>0</v>
      </c>
      <c r="I25" s="168">
        <v>1949909.3300000008</v>
      </c>
      <c r="J25" s="165">
        <f>+I25-H25</f>
        <v>1949909.3300000008</v>
      </c>
      <c r="K25" s="163">
        <v>0</v>
      </c>
      <c r="L25" s="168">
        <v>0</v>
      </c>
      <c r="M25" s="165">
        <f>+L25-K25</f>
        <v>0</v>
      </c>
      <c r="N25" s="163">
        <v>1391306.1199999992</v>
      </c>
      <c r="O25" s="168">
        <v>2172158.46</v>
      </c>
      <c r="P25" s="165">
        <f>+O25-N25</f>
        <v>780852.34000000078</v>
      </c>
      <c r="Q25" s="163">
        <v>0</v>
      </c>
      <c r="R25" s="168">
        <v>642831.71</v>
      </c>
      <c r="S25" s="165">
        <f>+R25-Q25</f>
        <v>642831.71</v>
      </c>
      <c r="T25" s="163">
        <f>+E25+H25+K25+N25+Q25</f>
        <v>6761221.879999998</v>
      </c>
      <c r="U25" s="164">
        <f>+F25+I25+L25+O25+R25</f>
        <v>25431919.430000011</v>
      </c>
      <c r="V25" s="164">
        <f>+U25-T25</f>
        <v>18670697.550000012</v>
      </c>
      <c r="W25" s="88">
        <f t="shared" si="0"/>
        <v>2.7614383733255057</v>
      </c>
      <c r="Y25" s="36"/>
    </row>
    <row r="26" spans="1:25" ht="15.75" thickBot="1" x14ac:dyDescent="0.25">
      <c r="A26" s="124" t="s">
        <v>17</v>
      </c>
      <c r="B26" s="169">
        <f>+B12+B20</f>
        <v>10137971200</v>
      </c>
      <c r="C26" s="169">
        <f>+C12+C20</f>
        <v>11392046740</v>
      </c>
      <c r="D26" s="170">
        <f>+C26-B26</f>
        <v>1254075540</v>
      </c>
      <c r="E26" s="169">
        <f>+E12+E20</f>
        <v>4147785434.5300031</v>
      </c>
      <c r="F26" s="171">
        <f>+F12+F20</f>
        <v>7357866032.2100096</v>
      </c>
      <c r="G26" s="170">
        <f>+F26-E26</f>
        <v>3210080597.6800065</v>
      </c>
      <c r="H26" s="169">
        <f>+H12+H20</f>
        <v>0</v>
      </c>
      <c r="I26" s="172">
        <f>+I12+I20</f>
        <v>48808713.959999993</v>
      </c>
      <c r="J26" s="170">
        <f>+I26-H26</f>
        <v>48808713.959999993</v>
      </c>
      <c r="K26" s="169">
        <f>+K12+K20</f>
        <v>13346184.809999999</v>
      </c>
      <c r="L26" s="172">
        <f>+L12+L20</f>
        <v>38258519.000000007</v>
      </c>
      <c r="M26" s="173">
        <f>+L26-K26</f>
        <v>24912334.190000009</v>
      </c>
      <c r="N26" s="169">
        <f>+N12+N20</f>
        <v>288688952.35000002</v>
      </c>
      <c r="O26" s="171">
        <f>+O12+O20</f>
        <v>429368272.31999993</v>
      </c>
      <c r="P26" s="170">
        <f>+O26-N26</f>
        <v>140679319.96999991</v>
      </c>
      <c r="Q26" s="169">
        <f>+Q12+Q20</f>
        <v>0</v>
      </c>
      <c r="R26" s="171">
        <f>+R12+R20</f>
        <v>1382578.71</v>
      </c>
      <c r="S26" s="170">
        <f>+R26-Q26</f>
        <v>1382578.71</v>
      </c>
      <c r="T26" s="169">
        <f>+T12+T20</f>
        <v>4449820571.6900034</v>
      </c>
      <c r="U26" s="171">
        <f>+U12+U20</f>
        <v>7875684116.2000093</v>
      </c>
      <c r="V26" s="171">
        <f>+U26-T26</f>
        <v>3425863544.510006</v>
      </c>
      <c r="W26" s="123">
        <f>IF(T26=0,"",V26/T26)</f>
        <v>0.76988801892497261</v>
      </c>
    </row>
    <row r="27" spans="1:25" x14ac:dyDescent="0.2">
      <c r="A27" s="58" t="s">
        <v>148</v>
      </c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90"/>
    </row>
    <row r="28" spans="1:25" x14ac:dyDescent="0.2">
      <c r="A28" s="57" t="s">
        <v>134</v>
      </c>
      <c r="E28" s="59"/>
      <c r="F28" s="4"/>
      <c r="G28" s="4"/>
      <c r="H28" s="59"/>
      <c r="I28" s="4"/>
      <c r="J28" s="4"/>
      <c r="K28" s="59"/>
      <c r="L28" s="4"/>
      <c r="M28" s="4"/>
      <c r="N28" s="59"/>
      <c r="O28" s="4"/>
      <c r="P28" s="4"/>
      <c r="Q28" s="4"/>
      <c r="R28" s="4"/>
      <c r="S28" s="4"/>
      <c r="T28" s="59"/>
      <c r="U28" s="4"/>
      <c r="V28" s="4"/>
      <c r="W28" s="90"/>
    </row>
    <row r="29" spans="1:25" x14ac:dyDescent="0.2">
      <c r="A29" s="1"/>
      <c r="E29" s="42"/>
      <c r="F29" s="42"/>
      <c r="G29" s="42"/>
      <c r="H29" s="42"/>
      <c r="I29" s="42"/>
      <c r="J29" s="42"/>
      <c r="K29" s="42"/>
      <c r="L29" s="42"/>
      <c r="M29" s="42"/>
      <c r="N29" s="42"/>
      <c r="T29" s="174"/>
    </row>
    <row r="30" spans="1:25" x14ac:dyDescent="0.2">
      <c r="B30" s="39"/>
      <c r="H30" s="176"/>
      <c r="T30" s="39"/>
    </row>
    <row r="31" spans="1:25" x14ac:dyDescent="0.2">
      <c r="C31" s="39"/>
      <c r="U31" s="39"/>
    </row>
  </sheetData>
  <mergeCells count="13">
    <mergeCell ref="K9:M9"/>
    <mergeCell ref="A2:W2"/>
    <mergeCell ref="A3:W3"/>
    <mergeCell ref="A1:W1"/>
    <mergeCell ref="B8:D8"/>
    <mergeCell ref="E8:W8"/>
    <mergeCell ref="A9:A10"/>
    <mergeCell ref="T9:W9"/>
    <mergeCell ref="N9:P9"/>
    <mergeCell ref="B9:D9"/>
    <mergeCell ref="E9:G9"/>
    <mergeCell ref="Q9:S9"/>
    <mergeCell ref="H9:J9"/>
  </mergeCells>
  <phoneticPr fontId="21" type="noConversion"/>
  <printOptions horizontalCentered="1"/>
  <pageMargins left="0.19685039370078741" right="0.19685039370078741" top="0.98425196850393704" bottom="0.98425196850393704" header="0" footer="0"/>
  <pageSetup paperSize="9" scale="56" orientation="landscape" r:id="rId1"/>
  <headerFooter alignWithMargins="0">
    <oddFooter>Página &amp;P de &amp;N</oddFooter>
  </headerFooter>
  <ignoredErrors>
    <ignoredError sqref="M20 M12 M26 G12:G13 G19:G21 G26 D20 D26 D12 J20 J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2"/>
  <sheetViews>
    <sheetView showGridLines="0" zoomScale="130" zoomScaleNormal="130" workbookViewId="0">
      <selection activeCell="E28" sqref="E28"/>
    </sheetView>
  </sheetViews>
  <sheetFormatPr baseColWidth="10" defaultColWidth="16.5703125" defaultRowHeight="12.75" x14ac:dyDescent="0.2"/>
  <cols>
    <col min="1" max="1" width="5.7109375" style="6" customWidth="1"/>
    <col min="2" max="2" width="37.42578125" style="6" customWidth="1"/>
    <col min="3" max="3" width="0.85546875" style="6" customWidth="1"/>
    <col min="4" max="5" width="11.7109375" style="6" bestFit="1" customWidth="1"/>
    <col min="6" max="6" width="12.28515625" style="93" bestFit="1" customWidth="1"/>
    <col min="7" max="7" width="10.7109375" style="6" customWidth="1"/>
    <col min="8" max="8" width="10.85546875" style="6" bestFit="1" customWidth="1"/>
    <col min="9" max="9" width="12" style="93" customWidth="1"/>
    <col min="10" max="11" width="11.7109375" style="6" bestFit="1" customWidth="1"/>
    <col min="12" max="12" width="12.28515625" style="93" bestFit="1" customWidth="1"/>
    <col min="13" max="13" width="10.42578125" style="6" bestFit="1" customWidth="1"/>
    <col min="14" max="14" width="10.5703125" style="6" customWidth="1"/>
    <col min="15" max="15" width="10.7109375" style="93" bestFit="1" customWidth="1"/>
    <col min="16" max="16" width="10.140625" style="6" bestFit="1" customWidth="1"/>
    <col min="17" max="17" width="10.5703125" style="6" customWidth="1"/>
    <col min="18" max="18" width="10.7109375" style="93" bestFit="1" customWidth="1"/>
    <col min="19" max="20" width="11.7109375" style="6" bestFit="1" customWidth="1"/>
    <col min="21" max="21" width="12.28515625" style="93" bestFit="1" customWidth="1"/>
    <col min="22" max="22" width="8.28515625" style="93" bestFit="1" customWidth="1"/>
    <col min="23" max="16384" width="16.5703125" style="6"/>
  </cols>
  <sheetData>
    <row r="1" spans="1:24" ht="14.25" x14ac:dyDescent="0.2">
      <c r="B1" s="230" t="s">
        <v>150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4" x14ac:dyDescent="0.2">
      <c r="B2" s="231" t="s">
        <v>18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7"/>
    </row>
    <row r="3" spans="1:24" ht="15.75" x14ac:dyDescent="0.25">
      <c r="B3" s="232" t="s">
        <v>108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3"/>
    </row>
    <row r="4" spans="1:24" x14ac:dyDescent="0.2">
      <c r="B4" s="8" t="s">
        <v>23</v>
      </c>
      <c r="C4" s="8"/>
      <c r="D4" s="8"/>
      <c r="E4" s="8"/>
      <c r="F4" s="8"/>
      <c r="G4" s="8"/>
      <c r="H4" s="9"/>
      <c r="I4" s="95"/>
      <c r="J4" s="9"/>
      <c r="K4" s="9"/>
      <c r="L4" s="95"/>
      <c r="M4" s="9"/>
      <c r="N4" s="9"/>
      <c r="O4" s="95"/>
      <c r="P4" s="9"/>
      <c r="Q4" s="9"/>
      <c r="R4" s="95"/>
      <c r="S4" s="9"/>
      <c r="T4" s="9"/>
      <c r="U4" s="95"/>
      <c r="V4" s="95"/>
    </row>
    <row r="5" spans="1:24" x14ac:dyDescent="0.2">
      <c r="B5" s="8" t="s">
        <v>25</v>
      </c>
      <c r="C5" s="8"/>
      <c r="D5" s="10"/>
      <c r="E5" s="10"/>
      <c r="F5" s="92"/>
      <c r="G5" s="11"/>
      <c r="H5" s="11"/>
      <c r="I5" s="96"/>
      <c r="J5" s="11"/>
      <c r="K5" s="11"/>
      <c r="L5" s="96"/>
      <c r="M5" s="11"/>
      <c r="N5" s="11"/>
      <c r="O5" s="96"/>
      <c r="P5" s="11"/>
      <c r="Q5" s="11"/>
      <c r="R5" s="96"/>
      <c r="S5" s="11"/>
      <c r="T5" s="11"/>
      <c r="U5" s="96"/>
      <c r="V5" s="96"/>
    </row>
    <row r="6" spans="1:24" ht="13.5" thickBot="1" x14ac:dyDescent="0.25">
      <c r="B6" s="8"/>
      <c r="C6" s="8"/>
      <c r="D6" s="10"/>
      <c r="E6" s="10"/>
      <c r="F6" s="92"/>
      <c r="G6" s="11"/>
      <c r="H6" s="11"/>
      <c r="I6" s="96"/>
      <c r="J6" s="11"/>
      <c r="K6" s="11"/>
      <c r="L6" s="96"/>
      <c r="M6" s="11"/>
      <c r="N6" s="11"/>
      <c r="O6" s="96"/>
      <c r="P6" s="11"/>
      <c r="Q6" s="11"/>
      <c r="R6" s="96"/>
      <c r="S6" s="11"/>
      <c r="T6" s="11"/>
      <c r="U6" s="96"/>
      <c r="V6" s="96"/>
    </row>
    <row r="7" spans="1:24" ht="15.95" customHeight="1" thickBot="1" x14ac:dyDescent="0.25">
      <c r="A7" s="227" t="s">
        <v>60</v>
      </c>
      <c r="B7" s="227" t="s">
        <v>128</v>
      </c>
      <c r="C7" s="8"/>
      <c r="D7" s="214" t="s">
        <v>26</v>
      </c>
      <c r="E7" s="215"/>
      <c r="F7" s="216"/>
      <c r="G7" s="214" t="s">
        <v>135</v>
      </c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6"/>
    </row>
    <row r="8" spans="1:24" ht="16.5" customHeight="1" x14ac:dyDescent="0.2">
      <c r="A8" s="228"/>
      <c r="B8" s="228"/>
      <c r="C8" s="15"/>
      <c r="D8" s="233" t="s">
        <v>59</v>
      </c>
      <c r="E8" s="234"/>
      <c r="F8" s="235"/>
      <c r="G8" s="208" t="s">
        <v>19</v>
      </c>
      <c r="H8" s="209"/>
      <c r="I8" s="210"/>
      <c r="J8" s="208" t="s">
        <v>110</v>
      </c>
      <c r="K8" s="209"/>
      <c r="L8" s="210"/>
      <c r="M8" s="208" t="s">
        <v>20</v>
      </c>
      <c r="N8" s="209"/>
      <c r="O8" s="210"/>
      <c r="P8" s="208" t="s">
        <v>96</v>
      </c>
      <c r="Q8" s="209"/>
      <c r="R8" s="210"/>
      <c r="S8" s="208" t="s">
        <v>4</v>
      </c>
      <c r="T8" s="209"/>
      <c r="U8" s="209"/>
      <c r="V8" s="210"/>
    </row>
    <row r="9" spans="1:24" ht="17.25" customHeight="1" thickBot="1" x14ac:dyDescent="0.25">
      <c r="A9" s="229"/>
      <c r="B9" s="229"/>
      <c r="C9" s="14"/>
      <c r="D9" s="125">
        <v>2024</v>
      </c>
      <c r="E9" s="126">
        <v>2025</v>
      </c>
      <c r="F9" s="127" t="s">
        <v>13</v>
      </c>
      <c r="G9" s="125">
        <v>2024</v>
      </c>
      <c r="H9" s="126">
        <v>2025</v>
      </c>
      <c r="I9" s="127" t="s">
        <v>13</v>
      </c>
      <c r="J9" s="125">
        <v>2024</v>
      </c>
      <c r="K9" s="126">
        <v>2025</v>
      </c>
      <c r="L9" s="127" t="s">
        <v>13</v>
      </c>
      <c r="M9" s="125">
        <v>2024</v>
      </c>
      <c r="N9" s="126">
        <v>2025</v>
      </c>
      <c r="O9" s="127" t="s">
        <v>13</v>
      </c>
      <c r="P9" s="125">
        <v>2024</v>
      </c>
      <c r="Q9" s="126">
        <v>2025</v>
      </c>
      <c r="R9" s="127" t="s">
        <v>13</v>
      </c>
      <c r="S9" s="125">
        <v>2024</v>
      </c>
      <c r="T9" s="126">
        <v>2025</v>
      </c>
      <c r="U9" s="126" t="s">
        <v>13</v>
      </c>
      <c r="V9" s="128" t="s">
        <v>14</v>
      </c>
    </row>
    <row r="10" spans="1:24" ht="5.0999999999999996" customHeight="1" x14ac:dyDescent="0.2">
      <c r="A10" s="44"/>
      <c r="B10" s="45"/>
      <c r="C10" s="23"/>
      <c r="D10" s="129"/>
      <c r="E10" s="130"/>
      <c r="F10" s="131"/>
      <c r="G10" s="132"/>
      <c r="H10" s="130"/>
      <c r="I10" s="131"/>
      <c r="J10" s="132"/>
      <c r="K10" s="130"/>
      <c r="L10" s="131"/>
      <c r="M10" s="132"/>
      <c r="N10" s="130"/>
      <c r="O10" s="131"/>
      <c r="P10" s="132"/>
      <c r="Q10" s="130"/>
      <c r="R10" s="133"/>
      <c r="S10" s="134"/>
      <c r="T10" s="130"/>
      <c r="U10" s="131"/>
      <c r="V10" s="97"/>
    </row>
    <row r="11" spans="1:24" ht="12.75" customHeight="1" x14ac:dyDescent="0.2">
      <c r="A11" s="16"/>
      <c r="B11" s="30"/>
      <c r="C11" s="27"/>
      <c r="D11" s="46"/>
      <c r="E11" s="47"/>
      <c r="F11" s="135"/>
      <c r="G11" s="46"/>
      <c r="H11" s="47"/>
      <c r="I11" s="135"/>
      <c r="J11" s="46"/>
      <c r="K11" s="47"/>
      <c r="L11" s="135"/>
      <c r="M11" s="46"/>
      <c r="N11" s="47"/>
      <c r="O11" s="135"/>
      <c r="P11" s="46"/>
      <c r="Q11" s="47"/>
      <c r="R11" s="135"/>
      <c r="S11" s="46"/>
      <c r="T11" s="47"/>
      <c r="U11" s="135"/>
      <c r="V11" s="19"/>
      <c r="X11" s="12"/>
    </row>
    <row r="12" spans="1:24" ht="12.75" customHeight="1" x14ac:dyDescent="0.2">
      <c r="A12" s="16" t="s">
        <v>123</v>
      </c>
      <c r="B12" s="30" t="s">
        <v>124</v>
      </c>
      <c r="C12" s="27"/>
      <c r="D12" s="46">
        <v>0</v>
      </c>
      <c r="E12" s="47">
        <v>0</v>
      </c>
      <c r="F12" s="136">
        <f>+E12-D12</f>
        <v>0</v>
      </c>
      <c r="G12" s="46">
        <v>0</v>
      </c>
      <c r="H12" s="47"/>
      <c r="I12" s="136">
        <f>+H12-G12</f>
        <v>0</v>
      </c>
      <c r="J12" s="46"/>
      <c r="K12" s="47"/>
      <c r="L12" s="136">
        <f>+K12-J12</f>
        <v>0</v>
      </c>
      <c r="M12" s="46">
        <v>0</v>
      </c>
      <c r="N12" s="47"/>
      <c r="O12" s="136">
        <f>+N12-M12</f>
        <v>0</v>
      </c>
      <c r="P12" s="46">
        <v>0</v>
      </c>
      <c r="Q12" s="47"/>
      <c r="R12" s="136">
        <f>+Q12-P12</f>
        <v>0</v>
      </c>
      <c r="S12" s="46">
        <f>+G12+J12+M12+P12</f>
        <v>0</v>
      </c>
      <c r="T12" s="47">
        <f>+H12+K12+N12+Q12</f>
        <v>0</v>
      </c>
      <c r="U12" s="136">
        <f>+T12-S12</f>
        <v>0</v>
      </c>
      <c r="V12" s="19" t="str">
        <f>IF(S12=0," ",U12/S12)</f>
        <v xml:space="preserve"> </v>
      </c>
      <c r="X12" s="12"/>
    </row>
    <row r="13" spans="1:24" ht="12.75" customHeight="1" x14ac:dyDescent="0.2">
      <c r="A13" s="16"/>
      <c r="B13" s="30"/>
      <c r="C13" s="27"/>
      <c r="D13" s="46"/>
      <c r="E13" s="47"/>
      <c r="F13" s="135"/>
      <c r="G13" s="46"/>
      <c r="H13" s="47"/>
      <c r="I13" s="135"/>
      <c r="J13" s="46"/>
      <c r="K13" s="47"/>
      <c r="L13" s="135"/>
      <c r="M13" s="46"/>
      <c r="N13" s="47"/>
      <c r="O13" s="135"/>
      <c r="P13" s="46"/>
      <c r="Q13" s="47"/>
      <c r="R13" s="135"/>
      <c r="S13" s="46"/>
      <c r="T13" s="47"/>
      <c r="U13" s="135"/>
      <c r="V13" s="19"/>
      <c r="X13" s="12"/>
    </row>
    <row r="14" spans="1:24" ht="12.75" customHeight="1" x14ac:dyDescent="0.2">
      <c r="A14" s="16" t="s">
        <v>41</v>
      </c>
      <c r="B14" s="30" t="s">
        <v>111</v>
      </c>
      <c r="C14" s="27"/>
      <c r="D14" s="46">
        <v>0</v>
      </c>
      <c r="E14" s="47">
        <v>22367349</v>
      </c>
      <c r="F14" s="136">
        <f t="shared" ref="F14:F24" si="0">+E14-D14</f>
        <v>22367349</v>
      </c>
      <c r="G14" s="46">
        <v>0</v>
      </c>
      <c r="H14" s="47">
        <f>7433565+7075964+7390294</f>
        <v>21899823</v>
      </c>
      <c r="I14" s="136">
        <f>+H14-G14</f>
        <v>21899823</v>
      </c>
      <c r="J14" s="46"/>
      <c r="K14" s="47"/>
      <c r="L14" s="136">
        <f>+K14-J14</f>
        <v>0</v>
      </c>
      <c r="M14" s="46">
        <v>0</v>
      </c>
      <c r="N14" s="47"/>
      <c r="O14" s="136">
        <f>+N14-M14</f>
        <v>0</v>
      </c>
      <c r="P14" s="46">
        <v>0</v>
      </c>
      <c r="Q14" s="47"/>
      <c r="R14" s="136">
        <f>+Q14-P14</f>
        <v>0</v>
      </c>
      <c r="S14" s="46">
        <f t="shared" ref="S14:T16" si="1">+G14+J14+M14+P14</f>
        <v>0</v>
      </c>
      <c r="T14" s="47">
        <f t="shared" si="1"/>
        <v>21899823</v>
      </c>
      <c r="U14" s="136">
        <f t="shared" ref="U14:U24" si="2">+T14-S14</f>
        <v>21899823</v>
      </c>
      <c r="V14" s="105" t="str">
        <f>IF(S14=0," ",U14/S14)</f>
        <v xml:space="preserve"> </v>
      </c>
      <c r="X14" s="12"/>
    </row>
    <row r="15" spans="1:24" ht="12.75" customHeight="1" x14ac:dyDescent="0.2">
      <c r="A15" s="16" t="s">
        <v>42</v>
      </c>
      <c r="B15" s="30" t="s">
        <v>112</v>
      </c>
      <c r="C15" s="27"/>
      <c r="D15" s="46">
        <v>0</v>
      </c>
      <c r="E15" s="47">
        <v>81400946</v>
      </c>
      <c r="F15" s="136">
        <f t="shared" si="0"/>
        <v>81400946</v>
      </c>
      <c r="G15" s="46">
        <v>0</v>
      </c>
      <c r="H15" s="47">
        <f>20947080+22515876+23377551</f>
        <v>66840507</v>
      </c>
      <c r="I15" s="136">
        <f>+H15-G15</f>
        <v>66840507</v>
      </c>
      <c r="J15" s="46"/>
      <c r="K15" s="47"/>
      <c r="L15" s="136">
        <f>+K15-J15</f>
        <v>0</v>
      </c>
      <c r="M15" s="46">
        <v>0</v>
      </c>
      <c r="N15" s="47"/>
      <c r="O15" s="136">
        <f>+N15-M15</f>
        <v>0</v>
      </c>
      <c r="P15" s="46">
        <v>0</v>
      </c>
      <c r="Q15" s="47"/>
      <c r="R15" s="136">
        <f>+Q15-P15</f>
        <v>0</v>
      </c>
      <c r="S15" s="46">
        <f t="shared" si="1"/>
        <v>0</v>
      </c>
      <c r="T15" s="47">
        <f t="shared" si="1"/>
        <v>66840507</v>
      </c>
      <c r="U15" s="136">
        <f t="shared" si="2"/>
        <v>66840507</v>
      </c>
      <c r="V15" s="105" t="str">
        <f>IF(S15=0," ",U15/S15)</f>
        <v xml:space="preserve"> </v>
      </c>
      <c r="X15" s="12"/>
    </row>
    <row r="16" spans="1:24" ht="12.75" customHeight="1" x14ac:dyDescent="0.2">
      <c r="A16" s="16" t="s">
        <v>43</v>
      </c>
      <c r="B16" s="30" t="s">
        <v>113</v>
      </c>
      <c r="C16" s="27"/>
      <c r="D16" s="46">
        <v>0</v>
      </c>
      <c r="E16" s="47">
        <v>57978401</v>
      </c>
      <c r="F16" s="136">
        <f t="shared" si="0"/>
        <v>57978401</v>
      </c>
      <c r="G16" s="46">
        <v>0</v>
      </c>
      <c r="H16" s="47">
        <f>18142670+16654187+16621779</f>
        <v>51418636</v>
      </c>
      <c r="I16" s="136">
        <f>+H16-G16</f>
        <v>51418636</v>
      </c>
      <c r="J16" s="46"/>
      <c r="K16" s="47"/>
      <c r="L16" s="136">
        <f>+K16-J16</f>
        <v>0</v>
      </c>
      <c r="M16" s="46"/>
      <c r="N16" s="47"/>
      <c r="O16" s="136">
        <f>+N16-M16</f>
        <v>0</v>
      </c>
      <c r="P16" s="46">
        <v>0</v>
      </c>
      <c r="Q16" s="47"/>
      <c r="R16" s="136">
        <f>+Q16-P16</f>
        <v>0</v>
      </c>
      <c r="S16" s="46">
        <f t="shared" si="1"/>
        <v>0</v>
      </c>
      <c r="T16" s="47">
        <f t="shared" si="1"/>
        <v>51418636</v>
      </c>
      <c r="U16" s="136">
        <f t="shared" si="2"/>
        <v>51418636</v>
      </c>
      <c r="V16" s="105" t="str">
        <f>IF(S16=0," ",U16/S16)</f>
        <v xml:space="preserve"> </v>
      </c>
      <c r="X16" s="12"/>
    </row>
    <row r="17" spans="1:25" ht="12.75" customHeight="1" x14ac:dyDescent="0.2">
      <c r="A17" s="16"/>
      <c r="B17" s="30"/>
      <c r="C17" s="27"/>
      <c r="D17" s="46"/>
      <c r="E17" s="47"/>
      <c r="F17" s="136"/>
      <c r="G17" s="46"/>
      <c r="H17" s="47"/>
      <c r="I17" s="136"/>
      <c r="J17" s="46"/>
      <c r="K17" s="47"/>
      <c r="L17" s="136"/>
      <c r="M17" s="46"/>
      <c r="N17" s="47"/>
      <c r="O17" s="136"/>
      <c r="P17" s="46"/>
      <c r="Q17" s="47"/>
      <c r="R17" s="136"/>
      <c r="S17" s="46"/>
      <c r="T17" s="47"/>
      <c r="U17" s="136"/>
      <c r="V17" s="105"/>
      <c r="X17" s="12"/>
    </row>
    <row r="18" spans="1:25" ht="12.75" customHeight="1" x14ac:dyDescent="0.2">
      <c r="A18" s="17" t="s">
        <v>46</v>
      </c>
      <c r="B18" s="30" t="s">
        <v>114</v>
      </c>
      <c r="C18" s="27"/>
      <c r="D18" s="46">
        <v>665712072</v>
      </c>
      <c r="E18" s="47">
        <v>594008575</v>
      </c>
      <c r="F18" s="136">
        <f>+E18-D18</f>
        <v>-71703497</v>
      </c>
      <c r="G18" s="46">
        <v>0</v>
      </c>
      <c r="H18" s="47"/>
      <c r="I18" s="136">
        <f>+H18-G18</f>
        <v>0</v>
      </c>
      <c r="J18" s="46"/>
      <c r="K18" s="47"/>
      <c r="L18" s="136">
        <f>+K18-J18</f>
        <v>0</v>
      </c>
      <c r="M18" s="46">
        <f>507374763+61178666+48737034</f>
        <v>617290463</v>
      </c>
      <c r="N18" s="47">
        <f>404851953+107101091+19546682</f>
        <v>531499726</v>
      </c>
      <c r="O18" s="136">
        <f>+N18-M18</f>
        <v>-85790737</v>
      </c>
      <c r="P18" s="46">
        <v>1860297</v>
      </c>
      <c r="Q18" s="47"/>
      <c r="R18" s="136">
        <f t="shared" ref="R18:R24" si="3">+Q18-P18</f>
        <v>-1860297</v>
      </c>
      <c r="S18" s="46">
        <f>+G18+J18+M18+P18</f>
        <v>619150760</v>
      </c>
      <c r="T18" s="47">
        <f>+H18+K18+N18+Q18</f>
        <v>531499726</v>
      </c>
      <c r="U18" s="136">
        <f>+T18-S18</f>
        <v>-87651034</v>
      </c>
      <c r="V18" s="105">
        <f>IF(S18=0," ",U18/S18)</f>
        <v>-0.14156654511737982</v>
      </c>
      <c r="X18" s="12"/>
    </row>
    <row r="19" spans="1:25" ht="12.75" customHeight="1" x14ac:dyDescent="0.2">
      <c r="A19" s="16" t="s">
        <v>92</v>
      </c>
      <c r="B19" s="30" t="s">
        <v>115</v>
      </c>
      <c r="C19" s="27"/>
      <c r="D19" s="46">
        <v>165988</v>
      </c>
      <c r="E19" s="47">
        <v>0</v>
      </c>
      <c r="F19" s="136">
        <f>+E19-D19</f>
        <v>-165988</v>
      </c>
      <c r="G19" s="46">
        <v>0</v>
      </c>
      <c r="H19" s="47"/>
      <c r="I19" s="136">
        <f>+H19-G19</f>
        <v>0</v>
      </c>
      <c r="J19" s="46"/>
      <c r="K19" s="47"/>
      <c r="L19" s="136">
        <f>+K19-J19</f>
        <v>0</v>
      </c>
      <c r="M19" s="46">
        <f>124427+1119984</f>
        <v>1244411</v>
      </c>
      <c r="N19" s="47"/>
      <c r="O19" s="136">
        <f>+N19-M19</f>
        <v>-1244411</v>
      </c>
      <c r="P19" s="46">
        <v>0</v>
      </c>
      <c r="Q19" s="47"/>
      <c r="R19" s="136">
        <f t="shared" si="3"/>
        <v>0</v>
      </c>
      <c r="S19" s="46">
        <f>+G19+J19+M19+P19</f>
        <v>1244411</v>
      </c>
      <c r="T19" s="47">
        <f>+H19+K19+N19+Q19</f>
        <v>0</v>
      </c>
      <c r="U19" s="136">
        <f>+T19-S19</f>
        <v>-1244411</v>
      </c>
      <c r="V19" s="105">
        <f>IF(S19=0," ",U19/S19)</f>
        <v>-1</v>
      </c>
      <c r="X19" s="12"/>
      <c r="Y19" s="175"/>
    </row>
    <row r="20" spans="1:25" ht="12.75" customHeight="1" x14ac:dyDescent="0.2">
      <c r="A20" s="16"/>
      <c r="B20" s="30"/>
      <c r="C20" s="27"/>
      <c r="D20" s="46"/>
      <c r="E20" s="47"/>
      <c r="F20" s="136"/>
      <c r="G20" s="46"/>
      <c r="H20" s="47"/>
      <c r="I20" s="136"/>
      <c r="J20" s="46"/>
      <c r="K20" s="47"/>
      <c r="L20" s="136"/>
      <c r="M20" s="46"/>
      <c r="N20" s="47"/>
      <c r="O20" s="136"/>
      <c r="P20" s="46"/>
      <c r="Q20" s="47"/>
      <c r="R20" s="136">
        <f t="shared" si="3"/>
        <v>0</v>
      </c>
      <c r="S20" s="46"/>
      <c r="T20" s="47"/>
      <c r="U20" s="136"/>
      <c r="V20" s="105"/>
      <c r="X20" s="12"/>
    </row>
    <row r="21" spans="1:25" ht="12.75" customHeight="1" x14ac:dyDescent="0.2">
      <c r="A21" s="17" t="s">
        <v>52</v>
      </c>
      <c r="B21" s="30" t="s">
        <v>116</v>
      </c>
      <c r="C21" s="27"/>
      <c r="D21" s="46"/>
      <c r="E21" s="48">
        <v>743657</v>
      </c>
      <c r="F21" s="136">
        <f t="shared" si="0"/>
        <v>743657</v>
      </c>
      <c r="G21" s="46">
        <f>76+1+1</f>
        <v>78</v>
      </c>
      <c r="H21" s="47">
        <f>46366+496963+1129273</f>
        <v>1672602</v>
      </c>
      <c r="I21" s="136">
        <f>+H21-G21</f>
        <v>1672524</v>
      </c>
      <c r="J21" s="46">
        <f>5116+546951-712590</f>
        <v>-160523</v>
      </c>
      <c r="K21" s="47">
        <f>-271250-551159-640714</f>
        <v>-1463123</v>
      </c>
      <c r="L21" s="136">
        <f>+K21-J21</f>
        <v>-1302600</v>
      </c>
      <c r="M21" s="46"/>
      <c r="N21" s="48"/>
      <c r="O21" s="136">
        <f>+N21-M21</f>
        <v>0</v>
      </c>
      <c r="P21" s="46">
        <v>0</v>
      </c>
      <c r="Q21" s="47"/>
      <c r="R21" s="136">
        <f t="shared" si="3"/>
        <v>0</v>
      </c>
      <c r="S21" s="46">
        <f t="shared" ref="S21:T24" si="4">+G21+J21+M21+P21</f>
        <v>-160445</v>
      </c>
      <c r="T21" s="48">
        <f t="shared" si="4"/>
        <v>209479</v>
      </c>
      <c r="U21" s="136">
        <f t="shared" si="2"/>
        <v>369924</v>
      </c>
      <c r="V21" s="105">
        <f>IF(S21=0," ",U21/S21)</f>
        <v>-2.3056125151921218</v>
      </c>
      <c r="X21" s="12"/>
    </row>
    <row r="22" spans="1:25" ht="12.75" customHeight="1" x14ac:dyDescent="0.2">
      <c r="A22" s="16" t="s">
        <v>53</v>
      </c>
      <c r="B22" s="30" t="s">
        <v>117</v>
      </c>
      <c r="C22" s="27"/>
      <c r="D22" s="46">
        <v>0</v>
      </c>
      <c r="E22" s="47">
        <v>36818804</v>
      </c>
      <c r="F22" s="136">
        <f t="shared" si="0"/>
        <v>36818804</v>
      </c>
      <c r="G22" s="46">
        <v>0</v>
      </c>
      <c r="H22" s="47">
        <f>16741494+7591024+13635272</f>
        <v>37967790</v>
      </c>
      <c r="I22" s="136">
        <f>+H22-G22</f>
        <v>37967790</v>
      </c>
      <c r="J22" s="46">
        <v>0</v>
      </c>
      <c r="K22" s="47"/>
      <c r="L22" s="136">
        <f>+K22-J22</f>
        <v>0</v>
      </c>
      <c r="M22" s="46">
        <v>0</v>
      </c>
      <c r="N22" s="47"/>
      <c r="O22" s="136">
        <f>+N22-M22</f>
        <v>0</v>
      </c>
      <c r="P22" s="46">
        <v>0</v>
      </c>
      <c r="Q22" s="47"/>
      <c r="R22" s="136">
        <f t="shared" si="3"/>
        <v>0</v>
      </c>
      <c r="S22" s="46">
        <f t="shared" si="4"/>
        <v>0</v>
      </c>
      <c r="T22" s="47">
        <f t="shared" si="4"/>
        <v>37967790</v>
      </c>
      <c r="U22" s="136">
        <f t="shared" si="2"/>
        <v>37967790</v>
      </c>
      <c r="V22" s="105" t="str">
        <f>IF(S22=0," ",U22/S22)</f>
        <v xml:space="preserve"> </v>
      </c>
      <c r="X22" s="12"/>
    </row>
    <row r="23" spans="1:25" ht="12.75" customHeight="1" x14ac:dyDescent="0.2">
      <c r="A23" s="16" t="s">
        <v>54</v>
      </c>
      <c r="B23" s="30" t="s">
        <v>118</v>
      </c>
      <c r="C23" s="27"/>
      <c r="D23" s="46">
        <v>28600</v>
      </c>
      <c r="E23" s="47">
        <v>7484253</v>
      </c>
      <c r="F23" s="136">
        <f>+E23-D23</f>
        <v>7455653</v>
      </c>
      <c r="G23" s="46">
        <v>0</v>
      </c>
      <c r="H23" s="47">
        <v>0</v>
      </c>
      <c r="I23" s="136">
        <f>+H23-G23</f>
        <v>0</v>
      </c>
      <c r="J23" s="46">
        <v>0</v>
      </c>
      <c r="K23" s="47"/>
      <c r="L23" s="136">
        <f>+K23-J23</f>
        <v>0</v>
      </c>
      <c r="M23" s="46">
        <f>6150+10150+6150</f>
        <v>22450</v>
      </c>
      <c r="N23" s="47">
        <f>7466174+6780+6780</f>
        <v>7479734</v>
      </c>
      <c r="O23" s="136">
        <f>+N23-M23</f>
        <v>7457284</v>
      </c>
      <c r="P23" s="46">
        <v>0</v>
      </c>
      <c r="Q23" s="47"/>
      <c r="R23" s="136">
        <f t="shared" si="3"/>
        <v>0</v>
      </c>
      <c r="S23" s="46">
        <f t="shared" si="4"/>
        <v>22450</v>
      </c>
      <c r="T23" s="47">
        <f t="shared" si="4"/>
        <v>7479734</v>
      </c>
      <c r="U23" s="136">
        <f>+T23-S23</f>
        <v>7457284</v>
      </c>
      <c r="V23" s="105">
        <f>IF(S23=0," ",U23/S23)</f>
        <v>332.17300668151449</v>
      </c>
      <c r="X23" s="12"/>
    </row>
    <row r="24" spans="1:25" ht="12.75" customHeight="1" x14ac:dyDescent="0.2">
      <c r="A24" s="17" t="s">
        <v>48</v>
      </c>
      <c r="B24" s="30" t="s">
        <v>119</v>
      </c>
      <c r="C24" s="27"/>
      <c r="D24" s="46"/>
      <c r="E24" s="47">
        <v>23777438</v>
      </c>
      <c r="F24" s="136">
        <f t="shared" si="0"/>
        <v>23777438</v>
      </c>
      <c r="G24" s="46">
        <f>44652-44306+205</f>
        <v>551</v>
      </c>
      <c r="H24" s="47">
        <f>7694277+18811494+16586361</f>
        <v>43092132</v>
      </c>
      <c r="I24" s="136">
        <f>+H24-G24</f>
        <v>43091581</v>
      </c>
      <c r="J24" s="46">
        <f>2633-1690+480</f>
        <v>1423</v>
      </c>
      <c r="K24" s="47">
        <f>112892+365-420</f>
        <v>112837</v>
      </c>
      <c r="L24" s="136">
        <f>+K24-J24</f>
        <v>111414</v>
      </c>
      <c r="M24" s="46">
        <f>21429+4406</f>
        <v>25835</v>
      </c>
      <c r="N24" s="47">
        <v>6279</v>
      </c>
      <c r="O24" s="136">
        <f>+N24-M24</f>
        <v>-19556</v>
      </c>
      <c r="P24" s="46">
        <v>0</v>
      </c>
      <c r="Q24" s="47"/>
      <c r="R24" s="136">
        <f t="shared" si="3"/>
        <v>0</v>
      </c>
      <c r="S24" s="46">
        <f t="shared" si="4"/>
        <v>27809</v>
      </c>
      <c r="T24" s="47">
        <f t="shared" si="4"/>
        <v>43211248</v>
      </c>
      <c r="U24" s="136">
        <f t="shared" si="2"/>
        <v>43183439</v>
      </c>
      <c r="V24" s="105">
        <f>IF(S24=0," ",U24/S24)</f>
        <v>1552.8583911683268</v>
      </c>
      <c r="X24" s="12"/>
    </row>
    <row r="25" spans="1:25" ht="12.75" customHeight="1" x14ac:dyDescent="0.2">
      <c r="A25" s="28"/>
      <c r="B25" s="31"/>
      <c r="C25" s="25"/>
      <c r="D25" s="49"/>
      <c r="E25" s="50"/>
      <c r="F25" s="136"/>
      <c r="G25" s="49"/>
      <c r="H25" s="47"/>
      <c r="I25" s="136"/>
      <c r="J25" s="46"/>
      <c r="K25" s="47"/>
      <c r="L25" s="136"/>
      <c r="M25" s="46"/>
      <c r="N25" s="50"/>
      <c r="O25" s="136"/>
      <c r="P25" s="46"/>
      <c r="Q25" s="47"/>
      <c r="R25" s="136"/>
      <c r="S25" s="49"/>
      <c r="T25" s="50"/>
      <c r="U25" s="136"/>
      <c r="V25" s="105"/>
      <c r="X25" s="12"/>
    </row>
    <row r="26" spans="1:25" ht="12.75" customHeight="1" x14ac:dyDescent="0.2">
      <c r="A26" s="17" t="s">
        <v>93</v>
      </c>
      <c r="B26" s="30" t="s">
        <v>120</v>
      </c>
      <c r="C26" s="27"/>
      <c r="D26" s="46">
        <v>53125658</v>
      </c>
      <c r="E26" s="47">
        <v>90820174</v>
      </c>
      <c r="F26" s="136">
        <f>+E26-D26</f>
        <v>37694516</v>
      </c>
      <c r="G26" s="46">
        <v>0</v>
      </c>
      <c r="H26" s="47"/>
      <c r="I26" s="136">
        <f>+H26-G26</f>
        <v>0</v>
      </c>
      <c r="J26" s="46">
        <v>24980195</v>
      </c>
      <c r="K26" s="47">
        <f>30368394+65993043</f>
        <v>96361437</v>
      </c>
      <c r="L26" s="136">
        <f>+K26-J26</f>
        <v>71381242</v>
      </c>
      <c r="M26" s="46">
        <v>0</v>
      </c>
      <c r="N26" s="47"/>
      <c r="O26" s="136">
        <f>+N26-M26</f>
        <v>0</v>
      </c>
      <c r="P26" s="46">
        <v>0</v>
      </c>
      <c r="Q26" s="47"/>
      <c r="R26" s="136">
        <f>+Q26-P26</f>
        <v>0</v>
      </c>
      <c r="S26" s="46">
        <f>+G26+J26+M26+P26</f>
        <v>24980195</v>
      </c>
      <c r="T26" s="47">
        <f>+H26+K26+N26+Q26</f>
        <v>96361437</v>
      </c>
      <c r="U26" s="136">
        <f>+T26-S26</f>
        <v>71381242</v>
      </c>
      <c r="V26" s="105">
        <f>IF(S26=0," ",U26/S26)</f>
        <v>2.8575134021171573</v>
      </c>
      <c r="X26" s="12"/>
    </row>
    <row r="27" spans="1:25" ht="12.75" customHeight="1" x14ac:dyDescent="0.2">
      <c r="A27" s="29" t="s">
        <v>98</v>
      </c>
      <c r="B27" s="30" t="s">
        <v>121</v>
      </c>
      <c r="C27" s="25"/>
      <c r="D27" s="46">
        <v>0</v>
      </c>
      <c r="E27" s="47">
        <v>0</v>
      </c>
      <c r="F27" s="136">
        <f>+E27-D27</f>
        <v>0</v>
      </c>
      <c r="G27" s="46">
        <v>0</v>
      </c>
      <c r="H27" s="47"/>
      <c r="I27" s="136">
        <f>+H27-G27</f>
        <v>0</v>
      </c>
      <c r="J27" s="46">
        <v>0</v>
      </c>
      <c r="K27" s="47"/>
      <c r="L27" s="136">
        <f>+K27-J27</f>
        <v>0</v>
      </c>
      <c r="M27" s="46">
        <v>0</v>
      </c>
      <c r="N27" s="47"/>
      <c r="O27" s="136">
        <f>+N27-M27</f>
        <v>0</v>
      </c>
      <c r="P27" s="46">
        <v>0</v>
      </c>
      <c r="Q27" s="47"/>
      <c r="R27" s="136">
        <f>+Q27-P27</f>
        <v>0</v>
      </c>
      <c r="S27" s="46">
        <f>+G27+J27+M27+P27</f>
        <v>0</v>
      </c>
      <c r="T27" s="47">
        <f>+H27+K27+N27+Q27</f>
        <v>0</v>
      </c>
      <c r="U27" s="136">
        <f>+T27-S27</f>
        <v>0</v>
      </c>
      <c r="V27" s="105" t="str">
        <f>IF(S27=0," ",U27/S27)</f>
        <v xml:space="preserve"> </v>
      </c>
      <c r="X27" s="12"/>
    </row>
    <row r="28" spans="1:25" ht="12.75" customHeight="1" x14ac:dyDescent="0.2">
      <c r="A28" s="29"/>
      <c r="B28" s="30"/>
      <c r="C28" s="25"/>
      <c r="D28" s="46"/>
      <c r="E28" s="47"/>
      <c r="F28" s="136"/>
      <c r="G28" s="46"/>
      <c r="H28" s="50"/>
      <c r="I28" s="136"/>
      <c r="J28" s="49"/>
      <c r="K28" s="50"/>
      <c r="L28" s="136"/>
      <c r="M28" s="49"/>
      <c r="N28" s="50"/>
      <c r="O28" s="136"/>
      <c r="P28" s="49"/>
      <c r="Q28" s="50"/>
      <c r="R28" s="136"/>
      <c r="S28" s="49"/>
      <c r="T28" s="50"/>
      <c r="U28" s="136"/>
      <c r="V28" s="105"/>
      <c r="X28" s="12"/>
    </row>
    <row r="29" spans="1:25" ht="12.75" customHeight="1" x14ac:dyDescent="0.2">
      <c r="A29" s="17" t="s">
        <v>51</v>
      </c>
      <c r="B29" s="30" t="s">
        <v>122</v>
      </c>
      <c r="C29" s="27"/>
      <c r="D29" s="46">
        <v>96275329</v>
      </c>
      <c r="E29" s="47">
        <v>58192401</v>
      </c>
      <c r="F29" s="136">
        <f>+E29-D29</f>
        <v>-38082928</v>
      </c>
      <c r="G29" s="46">
        <f>3801856-3098911+215192</f>
        <v>918137</v>
      </c>
      <c r="H29" s="47">
        <f>17776041+914</f>
        <v>17776955</v>
      </c>
      <c r="I29" s="136">
        <f>+H29-G29</f>
        <v>16858818</v>
      </c>
      <c r="J29" s="46">
        <f>24014302-13604026+14</f>
        <v>10410290</v>
      </c>
      <c r="K29" s="47">
        <f>4840771+8130-1027</f>
        <v>4847874</v>
      </c>
      <c r="L29" s="136">
        <f>+K29-J29</f>
        <v>-5562416</v>
      </c>
      <c r="M29" s="46">
        <f>109273822+1152704+75377</f>
        <v>110501903</v>
      </c>
      <c r="N29" s="47">
        <f>42405247+4218-11602</f>
        <v>42397863</v>
      </c>
      <c r="O29" s="136">
        <f>+N29-M29</f>
        <v>-68104040</v>
      </c>
      <c r="P29" s="46">
        <v>399084</v>
      </c>
      <c r="Q29" s="47">
        <f>2371432+683</f>
        <v>2372115</v>
      </c>
      <c r="R29" s="136">
        <f>+Q29-P29</f>
        <v>1973031</v>
      </c>
      <c r="S29" s="46">
        <f>+G29+J29+M29+P29</f>
        <v>122229414</v>
      </c>
      <c r="T29" s="47">
        <f>+H29+K29+N29+Q29</f>
        <v>67394807</v>
      </c>
      <c r="U29" s="136">
        <f>+T29-S29</f>
        <v>-54834607</v>
      </c>
      <c r="V29" s="105">
        <f>IF(S29=0," ",U29/S29)</f>
        <v>-0.44862038690621553</v>
      </c>
      <c r="X29" s="12"/>
    </row>
    <row r="30" spans="1:25" ht="12.75" customHeight="1" x14ac:dyDescent="0.2">
      <c r="A30" s="29"/>
      <c r="B30" s="26"/>
      <c r="C30" s="27"/>
      <c r="D30" s="46"/>
      <c r="E30" s="47"/>
      <c r="F30" s="136"/>
      <c r="G30" s="46"/>
      <c r="H30" s="47"/>
      <c r="I30" s="136"/>
      <c r="J30" s="137"/>
      <c r="K30" s="47"/>
      <c r="L30" s="136"/>
      <c r="M30" s="137"/>
      <c r="N30" s="47"/>
      <c r="O30" s="136"/>
      <c r="P30" s="137"/>
      <c r="Q30" s="47"/>
      <c r="R30" s="136"/>
      <c r="S30" s="137"/>
      <c r="T30" s="47"/>
      <c r="U30" s="136"/>
      <c r="V30" s="106"/>
      <c r="X30" s="12"/>
    </row>
    <row r="31" spans="1:25" ht="20.25" customHeight="1" thickBot="1" x14ac:dyDescent="0.25">
      <c r="A31" s="225" t="s">
        <v>4</v>
      </c>
      <c r="B31" s="226"/>
      <c r="C31" s="15"/>
      <c r="D31" s="138">
        <f>SUM(D12:D29)</f>
        <v>815307647</v>
      </c>
      <c r="E31" s="139">
        <f t="shared" ref="E31:U31" si="5">SUM(E12:E29)</f>
        <v>973591998</v>
      </c>
      <c r="F31" s="140">
        <f t="shared" si="5"/>
        <v>158284351</v>
      </c>
      <c r="G31" s="138">
        <f t="shared" si="5"/>
        <v>918766</v>
      </c>
      <c r="H31" s="141">
        <f>SUM(H12:H29)</f>
        <v>240668445</v>
      </c>
      <c r="I31" s="140">
        <f t="shared" si="5"/>
        <v>239749679</v>
      </c>
      <c r="J31" s="138">
        <f t="shared" si="5"/>
        <v>35231385</v>
      </c>
      <c r="K31" s="141">
        <f t="shared" si="5"/>
        <v>99859025</v>
      </c>
      <c r="L31" s="140">
        <f t="shared" si="5"/>
        <v>64627640</v>
      </c>
      <c r="M31" s="138">
        <f t="shared" si="5"/>
        <v>729085062</v>
      </c>
      <c r="N31" s="141">
        <f t="shared" si="5"/>
        <v>581383602</v>
      </c>
      <c r="O31" s="140">
        <f t="shared" si="5"/>
        <v>-147701460</v>
      </c>
      <c r="P31" s="138">
        <f t="shared" si="5"/>
        <v>2259381</v>
      </c>
      <c r="Q31" s="141">
        <f t="shared" si="5"/>
        <v>2372115</v>
      </c>
      <c r="R31" s="140">
        <f t="shared" si="5"/>
        <v>112734</v>
      </c>
      <c r="S31" s="138">
        <f t="shared" si="5"/>
        <v>767494594</v>
      </c>
      <c r="T31" s="141">
        <f t="shared" si="5"/>
        <v>924283187</v>
      </c>
      <c r="U31" s="140">
        <f t="shared" si="5"/>
        <v>156788593</v>
      </c>
      <c r="V31" s="142">
        <f>IF(S31=0," ",U31/S31)</f>
        <v>0.20428625064686776</v>
      </c>
    </row>
    <row r="32" spans="1:25" ht="3" customHeight="1" x14ac:dyDescent="0.2">
      <c r="H32" s="22"/>
      <c r="N32" s="22"/>
      <c r="Q32" s="22"/>
      <c r="S32" s="12"/>
      <c r="T32" s="12"/>
    </row>
    <row r="33" spans="1:22" ht="13.5" x14ac:dyDescent="0.25">
      <c r="A33" s="58" t="s">
        <v>148</v>
      </c>
      <c r="C33" s="24"/>
      <c r="M33" s="22"/>
      <c r="N33" s="22"/>
      <c r="S33" s="104"/>
      <c r="T33" s="12"/>
    </row>
    <row r="34" spans="1:22" s="1" customFormat="1" ht="11.25" x14ac:dyDescent="0.2">
      <c r="A34" s="57"/>
      <c r="F34" s="43"/>
      <c r="H34" s="2"/>
      <c r="I34" s="43"/>
      <c r="L34" s="43"/>
      <c r="M34" s="143"/>
      <c r="N34" s="143"/>
      <c r="O34" s="43"/>
      <c r="P34" s="98"/>
      <c r="R34" s="43"/>
      <c r="S34" s="143"/>
      <c r="T34" s="143"/>
      <c r="U34" s="43"/>
      <c r="V34" s="43"/>
    </row>
    <row r="35" spans="1:22" s="1" customFormat="1" ht="11.25" x14ac:dyDescent="0.2">
      <c r="A35" s="43" t="s">
        <v>62</v>
      </c>
      <c r="D35" s="2"/>
      <c r="E35" s="2"/>
      <c r="F35" s="94"/>
      <c r="G35" s="2"/>
      <c r="H35" s="2"/>
      <c r="I35" s="94"/>
      <c r="J35" s="2"/>
      <c r="K35" s="2"/>
      <c r="L35" s="94"/>
      <c r="M35" s="2"/>
      <c r="N35" s="2"/>
      <c r="O35" s="94"/>
      <c r="P35" s="2"/>
      <c r="Q35" s="2"/>
      <c r="R35" s="94"/>
      <c r="S35" s="2"/>
      <c r="T35" s="2"/>
      <c r="U35" s="94"/>
      <c r="V35" s="94"/>
    </row>
    <row r="36" spans="1:22" s="1" customFormat="1" ht="11.25" x14ac:dyDescent="0.2">
      <c r="A36" s="32" t="s">
        <v>27</v>
      </c>
      <c r="B36" s="18" t="s">
        <v>40</v>
      </c>
      <c r="F36" s="43"/>
      <c r="I36" s="43"/>
      <c r="L36" s="43"/>
      <c r="O36" s="43"/>
      <c r="R36" s="43"/>
      <c r="U36" s="43"/>
      <c r="V36" s="43"/>
    </row>
    <row r="37" spans="1:22" s="1" customFormat="1" ht="11.25" x14ac:dyDescent="0.2">
      <c r="A37" s="33" t="s">
        <v>44</v>
      </c>
      <c r="B37" s="18" t="s">
        <v>45</v>
      </c>
      <c r="F37" s="43"/>
      <c r="I37" s="43"/>
      <c r="L37" s="43"/>
      <c r="O37" s="43"/>
      <c r="R37" s="43"/>
      <c r="U37" s="43"/>
      <c r="V37" s="43"/>
    </row>
    <row r="38" spans="1:22" s="1" customFormat="1" ht="11.25" x14ac:dyDescent="0.2">
      <c r="A38" s="33" t="s">
        <v>21</v>
      </c>
      <c r="B38" s="18" t="s">
        <v>47</v>
      </c>
      <c r="F38" s="43"/>
      <c r="I38" s="43"/>
      <c r="L38" s="43"/>
      <c r="O38" s="43"/>
      <c r="R38" s="43"/>
      <c r="U38" s="43"/>
      <c r="V38" s="43"/>
    </row>
    <row r="39" spans="1:22" s="1" customFormat="1" ht="11.25" x14ac:dyDescent="0.2">
      <c r="A39" s="43" t="s">
        <v>94</v>
      </c>
      <c r="B39" s="43" t="s">
        <v>95</v>
      </c>
      <c r="F39" s="43"/>
      <c r="I39" s="43"/>
      <c r="L39" s="43"/>
      <c r="O39" s="43"/>
      <c r="R39" s="43"/>
      <c r="U39" s="43"/>
      <c r="V39" s="43"/>
    </row>
    <row r="40" spans="1:22" s="1" customFormat="1" ht="11.25" x14ac:dyDescent="0.2">
      <c r="A40" s="33" t="s">
        <v>49</v>
      </c>
      <c r="B40" s="18" t="s">
        <v>50</v>
      </c>
      <c r="F40" s="43"/>
      <c r="I40" s="43"/>
      <c r="L40" s="43"/>
      <c r="O40" s="43"/>
      <c r="R40" s="43"/>
      <c r="U40" s="43"/>
      <c r="V40" s="43"/>
    </row>
    <row r="41" spans="1:22" s="1" customFormat="1" ht="11.25" x14ac:dyDescent="0.2">
      <c r="F41" s="43"/>
      <c r="I41" s="43"/>
      <c r="L41" s="43"/>
      <c r="O41" s="43"/>
      <c r="R41" s="43"/>
      <c r="U41" s="43"/>
      <c r="V41" s="43"/>
    </row>
    <row r="42" spans="1:22" s="1" customFormat="1" ht="11.25" x14ac:dyDescent="0.2">
      <c r="F42" s="43"/>
      <c r="I42" s="43"/>
      <c r="L42" s="43"/>
      <c r="O42" s="43"/>
      <c r="R42" s="43"/>
      <c r="U42" s="43"/>
      <c r="V42" s="43"/>
    </row>
  </sheetData>
  <mergeCells count="14">
    <mergeCell ref="B1:V1"/>
    <mergeCell ref="B2:V2"/>
    <mergeCell ref="B3:V3"/>
    <mergeCell ref="D8:F8"/>
    <mergeCell ref="G8:I8"/>
    <mergeCell ref="J8:L8"/>
    <mergeCell ref="P8:R8"/>
    <mergeCell ref="D7:F7"/>
    <mergeCell ref="G7:V7"/>
    <mergeCell ref="A31:B31"/>
    <mergeCell ref="S8:V8"/>
    <mergeCell ref="B7:B9"/>
    <mergeCell ref="A7:A9"/>
    <mergeCell ref="M8:O8"/>
  </mergeCells>
  <phoneticPr fontId="21" type="noConversion"/>
  <pageMargins left="0.19685039370078741" right="0.19685039370078741" top="0.98425196850393704" bottom="0.98425196850393704" header="0" footer="0"/>
  <pageSetup paperSize="9" scale="58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Egresos_1</vt:lpstr>
      <vt:lpstr>Egresos_2</vt:lpstr>
      <vt:lpstr>Gto_09_10</vt:lpstr>
      <vt:lpstr>Ing_2024_2025</vt:lpstr>
      <vt:lpstr>Egresos_1!Área_de_impresión</vt:lpstr>
      <vt:lpstr>Egresos_2!Área_de_impresión</vt:lpstr>
      <vt:lpstr>Gto_09_10!Área_de_impresión</vt:lpstr>
      <vt:lpstr>Ing_2024_2025!Área_de_impresión</vt:lpstr>
    </vt:vector>
  </TitlesOfParts>
  <Company>minsa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</dc:creator>
  <cp:lastModifiedBy>DAMIAN VICENTE GALLO</cp:lastModifiedBy>
  <cp:lastPrinted>2017-09-19T16:09:39Z</cp:lastPrinted>
  <dcterms:created xsi:type="dcterms:W3CDTF">2005-04-28T15:55:54Z</dcterms:created>
  <dcterms:modified xsi:type="dcterms:W3CDTF">2025-12-31T22:38:20Z</dcterms:modified>
</cp:coreProperties>
</file>